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duPristine\Desktop\"/>
    </mc:Choice>
  </mc:AlternateContent>
  <bookViews>
    <workbookView xWindow="0" yWindow="0" windowWidth="20490" windowHeight="6555"/>
  </bookViews>
  <sheets>
    <sheet name="Cover" sheetId="12" r:id="rId1"/>
    <sheet name="Debt Modeling" sheetId="7" r:id="rId2"/>
    <sheet name="Assumption" sheetId="6" r:id="rId3"/>
    <sheet name="Quaterly Revenue Assumptions" sheetId="10" r:id="rId4"/>
    <sheet name="P&amp;L" sheetId="1" r:id="rId5"/>
    <sheet name="Asset Modeling" sheetId="9" r:id="rId6"/>
    <sheet name="Cash Flow Statements" sheetId="8" r:id="rId7"/>
    <sheet name="Balance sheet" sheetId="3" r:id="rId8"/>
    <sheet name="Shareholder's equity" sheetId="4" r:id="rId9"/>
    <sheet name="DCF" sheetId="11" r:id="rId10"/>
  </sheets>
  <externalReferences>
    <externalReference r:id="rId11"/>
    <externalReference r:id="rId12"/>
    <externalReference r:id="rId13"/>
    <externalReference r:id="rId14"/>
    <externalReference r:id="rId15"/>
    <externalReference r:id="rId16"/>
    <externalReference r:id="rId17"/>
  </externalReferences>
  <definedNames>
    <definedName name="aa" localSheetId="0">#REF!</definedName>
    <definedName name="aa">#REF!</definedName>
    <definedName name="abc" localSheetId="0">#REF!</definedName>
    <definedName name="abc">#REF!</definedName>
    <definedName name="Apr" localSheetId="0">'[1]Intersector Operator'!$C$11:$G$11</definedName>
    <definedName name="Apr">'[1]Intersector Operator'!$C$11:$G$11</definedName>
    <definedName name="BoomName" localSheetId="0">[1]VLOOKUP!$B$31:$B$39</definedName>
    <definedName name="BoomName">[1]VLOOKUP!$B$31:$B$39</definedName>
    <definedName name="CCF" localSheetId="0">#REF!</definedName>
    <definedName name="CCF">#REF!</definedName>
    <definedName name="CCFNew" localSheetId="0">#REF!</definedName>
    <definedName name="CCFNew">#REF!</definedName>
    <definedName name="Costs_per_Unit" localSheetId="0">#REF!</definedName>
    <definedName name="Costs_per_Unit">#REF!</definedName>
    <definedName name="_xlnm.Criteria" localSheetId="0">'[2]Any-Column Lookup'!#REF!</definedName>
    <definedName name="_xlnm.Criteria">'[2]Any-Column Lookup'!#REF!</definedName>
    <definedName name="_xlnm.Database" localSheetId="0">#REF!</definedName>
    <definedName name="_xlnm.Database">#REF!</definedName>
    <definedName name="Dept03" localSheetId="0">'[1]Intersector Operator'!$E$8:$E$19</definedName>
    <definedName name="Dept03">'[1]Intersector Operator'!$E$8:$E$19</definedName>
    <definedName name="Dept04" localSheetId="0">'[1]Intersector Operator'!$F$8:$F$19</definedName>
    <definedName name="Dept04">'[1]Intersector Operator'!$F$8:$F$19</definedName>
    <definedName name="Fac" localSheetId="0">#REF!</definedName>
    <definedName name="Fac">#REF!</definedName>
    <definedName name="FebSales" localSheetId="0">#REF!</definedName>
    <definedName name="FebSales">#REF!</definedName>
    <definedName name="iemr" localSheetId="0">#REF!</definedName>
    <definedName name="iemr">#REF!</definedName>
    <definedName name="JanSales" localSheetId="0">#REF!</definedName>
    <definedName name="JanSales">#REF!</definedName>
    <definedName name="k" localSheetId="0">Cover!p</definedName>
    <definedName name="k">[0]!p</definedName>
    <definedName name="MarSales" localSheetId="0">#REF!</definedName>
    <definedName name="MarSales">#REF!</definedName>
    <definedName name="Max_CFA" localSheetId="0">#REF!</definedName>
    <definedName name="Max_CFA">#REF!</definedName>
    <definedName name="Max_FRMPRM" localSheetId="0">#REF!</definedName>
    <definedName name="Max_FRMPRM">#REF!</definedName>
    <definedName name="May" localSheetId="0">'[1]Intersector Operator'!$C$12:$G$12</definedName>
    <definedName name="May">'[1]Intersector Operator'!$C$12:$G$12</definedName>
    <definedName name="NAME" localSheetId="0">[1]Table1!$A$1:$B$4</definedName>
    <definedName name="NAME">[1]Table1!$A$1:$B$4</definedName>
    <definedName name="NFB" localSheetId="0">#REF!</definedName>
    <definedName name="NFB">#REF!</definedName>
    <definedName name="p" localSheetId="0">INDEX(#REF!,MATCH(#REF!,#REF!,0),1)</definedName>
    <definedName name="p">INDEX(#REF!,MATCH(#REF!,#REF!,0),1)</definedName>
    <definedName name="Pristine_Course" localSheetId="0">#REF!</definedName>
    <definedName name="Pristine_Course">#REF!</definedName>
    <definedName name="Pristine_Month" localSheetId="0">'[3]D-I'!$K$3:$K$5</definedName>
    <definedName name="Pristine_Month">'[3]D-I'!$K$3:$K$5</definedName>
    <definedName name="Pristine_product" localSheetId="0">'[4]D-I'!$I$3:$I$6</definedName>
    <definedName name="Pristine_product">'[4]D-I'!$I$3:$I$6</definedName>
    <definedName name="pristine_region" localSheetId="0">'[4]D-I'!$G$3:$G$7</definedName>
    <definedName name="pristine_region">'[4]D-I'!$G$3:$G$7</definedName>
    <definedName name="product" localSheetId="0">#REF!</definedName>
    <definedName name="product">#REF!</definedName>
    <definedName name="Product_Flex">OFFSET('[5]Dynamic Chart - Offset'!$A$2,,,'[5]Dynamic Chart - Offset'!$D$2,1)</definedName>
    <definedName name="Prov" localSheetId="0">#REF!</definedName>
    <definedName name="Prov">#REF!</definedName>
    <definedName name="RAROC" localSheetId="0">#REF!</definedName>
    <definedName name="RAROC">#REF!</definedName>
    <definedName name="Rating" localSheetId="0">#REF!</definedName>
    <definedName name="Rating">#REF!</definedName>
    <definedName name="region" localSheetId="0">#REF!</definedName>
    <definedName name="region">#REF!</definedName>
    <definedName name="RR" localSheetId="0">#REF!</definedName>
    <definedName name="RR">#REF!</definedName>
    <definedName name="RW" localSheetId="0">#REF!</definedName>
    <definedName name="RW">#REF!</definedName>
    <definedName name="Sales_Flex">OFFSET('[5]Dynamic Chart - Offset'!$B$2,,,'[5]Dynamic Chart - Offset'!$D$2,1)</definedName>
    <definedName name="ss" localSheetId="0">#REF!</definedName>
    <definedName name="ss">#REF!</definedName>
    <definedName name="Tax" localSheetId="0">[1]VLOOKUP!$I$70:$M$77</definedName>
    <definedName name="Tax">[1]VLOOKUP!$I$70:$M$77</definedName>
    <definedName name="Tenor" localSheetId="0">#REF!</definedName>
    <definedName name="Tenor">#REF!</definedName>
    <definedName name="test" localSheetId="0">'[6]Scroll Bars and Spinners'!#REF!</definedName>
    <definedName name="test">'[6]Scroll Bars and Spinners'!#REF!</definedName>
    <definedName name="TL" localSheetId="0">#REF!</definedName>
    <definedName name="TL">#REF!</definedName>
    <definedName name="Total_Costs" localSheetId="0">'[7]Break Even (Solver)'!$B$10:$C$10</definedName>
    <definedName name="Total_Costs">'[7]Break Even (Solver)'!$B$10:$C$10</definedName>
    <definedName name="Total_Revenue" localSheetId="0">#REF!</definedName>
    <definedName name="Total_Revenue">#REF!</definedName>
    <definedName name="valuevx">42.314159</definedName>
    <definedName name="WC" localSheetId="0">#REF!</definedName>
    <definedName name="WC">#REF!</definedName>
    <definedName name="WCFB" localSheetId="0">#REF!</definedName>
    <definedName name="WCFB">#REF!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 i="11" l="1"/>
  <c r="G5" i="6" l="1"/>
  <c r="K25" i="8" l="1"/>
  <c r="K22" i="3"/>
  <c r="K9" i="3"/>
  <c r="J22" i="3"/>
  <c r="I22" i="3"/>
  <c r="H22" i="3"/>
  <c r="J9" i="3"/>
  <c r="I9" i="3"/>
  <c r="H9" i="3"/>
  <c r="H36" i="3"/>
  <c r="H24" i="8" s="1"/>
  <c r="J25" i="8"/>
  <c r="I25" i="8"/>
  <c r="H25" i="8"/>
  <c r="G25" i="8"/>
  <c r="G24" i="8"/>
  <c r="F25" i="8"/>
  <c r="E40" i="3"/>
  <c r="E38" i="3"/>
  <c r="R28" i="4"/>
  <c r="I36" i="3" l="1"/>
  <c r="J36" i="3" s="1"/>
  <c r="K36" i="3" s="1"/>
  <c r="K24" i="8" s="1"/>
  <c r="J9" i="8"/>
  <c r="K12" i="8"/>
  <c r="K9" i="8"/>
  <c r="I12" i="8"/>
  <c r="I9" i="8"/>
  <c r="J12" i="8"/>
  <c r="I24" i="8"/>
  <c r="G35" i="3"/>
  <c r="H35" i="3" s="1"/>
  <c r="I35" i="3" s="1"/>
  <c r="J35" i="3" s="1"/>
  <c r="K35" i="3" s="1"/>
  <c r="G33" i="3"/>
  <c r="H33" i="3" l="1"/>
  <c r="G26" i="8"/>
  <c r="J24" i="8"/>
  <c r="F27" i="11"/>
  <c r="F28" i="11" s="1"/>
  <c r="F29" i="11" s="1"/>
  <c r="F30" i="11" s="1"/>
  <c r="H25" i="11"/>
  <c r="I25" i="11" s="1"/>
  <c r="J25" i="11" s="1"/>
  <c r="K25" i="11" s="1"/>
  <c r="C14" i="11"/>
  <c r="G18" i="11" s="1"/>
  <c r="I2" i="11"/>
  <c r="J2" i="11" s="1"/>
  <c r="K2" i="11" s="1"/>
  <c r="I33" i="3" l="1"/>
  <c r="H26" i="8"/>
  <c r="G10" i="7"/>
  <c r="H10" i="7"/>
  <c r="F10" i="7"/>
  <c r="I10" i="7"/>
  <c r="J10" i="7"/>
  <c r="E10" i="7"/>
  <c r="G24" i="3"/>
  <c r="G14" i="8" s="1"/>
  <c r="G23" i="3"/>
  <c r="G13" i="8" s="1"/>
  <c r="G22" i="3"/>
  <c r="G21" i="3"/>
  <c r="G11" i="8" s="1"/>
  <c r="G20" i="3"/>
  <c r="G10" i="8" s="1"/>
  <c r="G9" i="3"/>
  <c r="G7" i="3"/>
  <c r="F68" i="6"/>
  <c r="E68" i="6"/>
  <c r="F66" i="6"/>
  <c r="E66" i="6"/>
  <c r="F64" i="6"/>
  <c r="E64" i="6"/>
  <c r="F62" i="6"/>
  <c r="E62" i="6"/>
  <c r="F60" i="6"/>
  <c r="E60" i="6"/>
  <c r="F55" i="6"/>
  <c r="E55" i="6"/>
  <c r="F53" i="6"/>
  <c r="E53" i="6"/>
  <c r="F51" i="6"/>
  <c r="E51" i="6"/>
  <c r="J33" i="3" l="1"/>
  <c r="I26" i="8"/>
  <c r="G53" i="6"/>
  <c r="G8" i="3" s="1"/>
  <c r="G8" i="8" s="1"/>
  <c r="G7" i="8"/>
  <c r="G12" i="8"/>
  <c r="H12" i="8"/>
  <c r="G9" i="8"/>
  <c r="H9" i="8"/>
  <c r="G25" i="3"/>
  <c r="G27" i="6"/>
  <c r="F27" i="6"/>
  <c r="E27" i="6"/>
  <c r="F21" i="6"/>
  <c r="G21" i="6"/>
  <c r="E21" i="6"/>
  <c r="G19" i="6"/>
  <c r="F19" i="6"/>
  <c r="E19" i="6"/>
  <c r="G17" i="6"/>
  <c r="F17" i="6"/>
  <c r="E17" i="6"/>
  <c r="F5" i="6"/>
  <c r="H8" i="10"/>
  <c r="I8" i="10"/>
  <c r="I9" i="10" s="1"/>
  <c r="I7" i="10"/>
  <c r="J6" i="10"/>
  <c r="I6" i="10"/>
  <c r="K6" i="10"/>
  <c r="L6" i="10"/>
  <c r="M6" i="10"/>
  <c r="G13" i="6"/>
  <c r="F13" i="6"/>
  <c r="E13" i="6"/>
  <c r="H13" i="6" s="1"/>
  <c r="I13" i="6" l="1"/>
  <c r="K13" i="6" s="1"/>
  <c r="K33" i="3"/>
  <c r="K26" i="8" s="1"/>
  <c r="J26" i="8"/>
  <c r="J13" i="6"/>
  <c r="H19" i="6"/>
  <c r="I19" i="6" s="1"/>
  <c r="G4" i="6"/>
  <c r="L13" i="6" l="1"/>
  <c r="H5" i="6"/>
  <c r="J19" i="6"/>
  <c r="K19" i="6" s="1"/>
  <c r="F26" i="8"/>
  <c r="F24" i="8"/>
  <c r="F18" i="8"/>
  <c r="I5" i="6" l="1"/>
  <c r="H4" i="1"/>
  <c r="H11" i="6"/>
  <c r="L19" i="6"/>
  <c r="F20" i="8"/>
  <c r="F14" i="8"/>
  <c r="F13" i="8"/>
  <c r="F27" i="8"/>
  <c r="F28" i="8"/>
  <c r="F19" i="8"/>
  <c r="F12" i="8"/>
  <c r="F11" i="8"/>
  <c r="F10" i="8"/>
  <c r="F9" i="8"/>
  <c r="F8" i="8"/>
  <c r="F7" i="8"/>
  <c r="H13" i="1" l="1"/>
  <c r="H20" i="3"/>
  <c r="H8" i="3"/>
  <c r="H8" i="8" s="1"/>
  <c r="H24" i="3"/>
  <c r="H14" i="8" s="1"/>
  <c r="H23" i="3"/>
  <c r="H13" i="8" s="1"/>
  <c r="H21" i="3"/>
  <c r="H11" i="8" s="1"/>
  <c r="H7" i="3"/>
  <c r="H7" i="8" s="1"/>
  <c r="H9" i="1"/>
  <c r="H8" i="1"/>
  <c r="H10" i="1"/>
  <c r="I11" i="6"/>
  <c r="H12" i="1"/>
  <c r="H5" i="1"/>
  <c r="I4" i="1"/>
  <c r="I4" i="6"/>
  <c r="J5" i="6" s="1"/>
  <c r="J4" i="6" s="1"/>
  <c r="K5" i="6" s="1"/>
  <c r="K4" i="6" s="1"/>
  <c r="L5" i="6" s="1"/>
  <c r="L4" i="6" s="1"/>
  <c r="F31" i="8"/>
  <c r="F21" i="8"/>
  <c r="H14" i="1" l="1"/>
  <c r="I20" i="3"/>
  <c r="I8" i="3"/>
  <c r="I8" i="8" s="1"/>
  <c r="I8" i="1"/>
  <c r="I24" i="3"/>
  <c r="I14" i="8" s="1"/>
  <c r="I9" i="1"/>
  <c r="I21" i="3"/>
  <c r="I11" i="8" s="1"/>
  <c r="I13" i="1"/>
  <c r="J11" i="6"/>
  <c r="I23" i="3"/>
  <c r="I13" i="8" s="1"/>
  <c r="I7" i="3"/>
  <c r="I7" i="8" s="1"/>
  <c r="I12" i="1"/>
  <c r="I14" i="1" s="1"/>
  <c r="I15" i="1" s="1"/>
  <c r="I16" i="1" s="1"/>
  <c r="H5" i="8" s="1"/>
  <c r="I10" i="1"/>
  <c r="J4" i="1"/>
  <c r="I5" i="1"/>
  <c r="H25" i="3"/>
  <c r="H10" i="8"/>
  <c r="H6" i="1"/>
  <c r="H11" i="1"/>
  <c r="G13" i="3" s="1"/>
  <c r="G18" i="8" s="1"/>
  <c r="H15" i="8" l="1"/>
  <c r="J5" i="11"/>
  <c r="H41" i="3"/>
  <c r="J21" i="3"/>
  <c r="J11" i="8" s="1"/>
  <c r="J20" i="3"/>
  <c r="J13" i="1"/>
  <c r="J9" i="1"/>
  <c r="J24" i="3"/>
  <c r="J14" i="8" s="1"/>
  <c r="J10" i="1"/>
  <c r="J7" i="3"/>
  <c r="J23" i="3"/>
  <c r="J13" i="8" s="1"/>
  <c r="J12" i="1"/>
  <c r="J8" i="3"/>
  <c r="J8" i="8" s="1"/>
  <c r="J8" i="1"/>
  <c r="K11" i="6"/>
  <c r="I11" i="1"/>
  <c r="H13" i="3" s="1"/>
  <c r="H18" i="8" s="1"/>
  <c r="I6" i="1"/>
  <c r="K4" i="1"/>
  <c r="J5" i="1"/>
  <c r="I25" i="3"/>
  <c r="I10" i="8"/>
  <c r="J11" i="1" l="1"/>
  <c r="I13" i="3" s="1"/>
  <c r="I18" i="8" s="1"/>
  <c r="J14" i="1"/>
  <c r="J15" i="1" s="1"/>
  <c r="J16" i="1" s="1"/>
  <c r="I41" i="3" s="1"/>
  <c r="K5" i="1"/>
  <c r="K6" i="1" s="1"/>
  <c r="L4" i="1"/>
  <c r="J6" i="1"/>
  <c r="J25" i="3"/>
  <c r="J10" i="8"/>
  <c r="K10" i="1"/>
  <c r="K23" i="3"/>
  <c r="K13" i="8" s="1"/>
  <c r="K13" i="1"/>
  <c r="K9" i="1"/>
  <c r="L11" i="6"/>
  <c r="K12" i="1"/>
  <c r="K8" i="3"/>
  <c r="K8" i="8" s="1"/>
  <c r="K24" i="3"/>
  <c r="K14" i="8" s="1"/>
  <c r="K7" i="3"/>
  <c r="K7" i="8" s="1"/>
  <c r="K8" i="1"/>
  <c r="K20" i="3"/>
  <c r="K21" i="3"/>
  <c r="K11" i="8" s="1"/>
  <c r="J7" i="8"/>
  <c r="F69" i="6"/>
  <c r="E69" i="6"/>
  <c r="F56" i="6"/>
  <c r="E56" i="6"/>
  <c r="I5" i="8" l="1"/>
  <c r="I15" i="8" s="1"/>
  <c r="K5" i="11"/>
  <c r="K11" i="1"/>
  <c r="J13" i="3" s="1"/>
  <c r="J18" i="8" s="1"/>
  <c r="K10" i="8"/>
  <c r="K25" i="3"/>
  <c r="L5" i="1"/>
  <c r="L6" i="1" s="1"/>
  <c r="K14" i="1"/>
  <c r="K15" i="1" s="1"/>
  <c r="K16" i="1" s="1"/>
  <c r="L10" i="1"/>
  <c r="L13" i="1"/>
  <c r="L9" i="1"/>
  <c r="L12" i="1"/>
  <c r="L8" i="1"/>
  <c r="L14" i="1" l="1"/>
  <c r="L15" i="1" s="1"/>
  <c r="L16" i="1" s="1"/>
  <c r="K5" i="8" s="1"/>
  <c r="K15" i="8" s="1"/>
  <c r="L5" i="11"/>
  <c r="J41" i="3"/>
  <c r="J5" i="8"/>
  <c r="J15" i="8" s="1"/>
  <c r="L11" i="1"/>
  <c r="K13" i="3" s="1"/>
  <c r="K18" i="8" s="1"/>
  <c r="G22" i="6"/>
  <c r="G23" i="6" s="1"/>
  <c r="F22" i="6"/>
  <c r="F23" i="6" s="1"/>
  <c r="E22" i="6"/>
  <c r="E23" i="6" s="1"/>
  <c r="G14" i="6"/>
  <c r="F14" i="6"/>
  <c r="E14" i="6"/>
  <c r="G6" i="1"/>
  <c r="F6" i="1"/>
  <c r="E6" i="1"/>
  <c r="K41" i="3" l="1"/>
  <c r="D10" i="9"/>
  <c r="D8" i="9"/>
  <c r="D6" i="9"/>
  <c r="E6" i="9"/>
  <c r="E8" i="9"/>
  <c r="E10" i="9"/>
  <c r="E24" i="6"/>
  <c r="F24" i="6"/>
  <c r="G24" i="6"/>
  <c r="E11" i="9" l="1"/>
  <c r="D11" i="9"/>
  <c r="F10" i="9"/>
  <c r="G10" i="9" s="1"/>
  <c r="F6" i="9"/>
  <c r="E28" i="6"/>
  <c r="E25" i="6"/>
  <c r="G28" i="6"/>
  <c r="G25" i="6"/>
  <c r="F28" i="6"/>
  <c r="F25" i="6"/>
  <c r="G6" i="9" l="1"/>
  <c r="G12" i="3" s="1"/>
  <c r="H10" i="9"/>
  <c r="H14" i="3" s="1"/>
  <c r="G14" i="3"/>
  <c r="G31" i="6"/>
  <c r="G30" i="6"/>
  <c r="F31" i="6"/>
  <c r="F30" i="6"/>
  <c r="E31" i="6"/>
  <c r="E30" i="6"/>
  <c r="H6" i="9" l="1"/>
  <c r="I6" i="9" s="1"/>
  <c r="I12" i="3" s="1"/>
  <c r="G20" i="8"/>
  <c r="H20" i="8"/>
  <c r="I10" i="9"/>
  <c r="H12" i="3"/>
  <c r="G19" i="8"/>
  <c r="G15" i="3"/>
  <c r="H30" i="6"/>
  <c r="H15" i="1" s="1"/>
  <c r="H16" i="1" s="1"/>
  <c r="I53" i="4"/>
  <c r="F30" i="3"/>
  <c r="E30" i="3"/>
  <c r="F25" i="3"/>
  <c r="E25" i="3"/>
  <c r="F15" i="3"/>
  <c r="E15" i="3"/>
  <c r="H29" i="3" l="1"/>
  <c r="H28" i="3"/>
  <c r="I5" i="11"/>
  <c r="G41" i="3"/>
  <c r="G5" i="8"/>
  <c r="G15" i="8" s="1"/>
  <c r="J10" i="9"/>
  <c r="J14" i="3" s="1"/>
  <c r="I14" i="3"/>
  <c r="I15" i="3" s="1"/>
  <c r="I19" i="8"/>
  <c r="H15" i="3"/>
  <c r="H19" i="8"/>
  <c r="H21" i="8" s="1"/>
  <c r="J6" i="9"/>
  <c r="G21" i="8"/>
  <c r="E32" i="3"/>
  <c r="G28" i="3"/>
  <c r="G27" i="8" s="1"/>
  <c r="G29" i="3"/>
  <c r="G28" i="8" s="1"/>
  <c r="F32" i="3"/>
  <c r="G11" i="1"/>
  <c r="F11" i="1"/>
  <c r="E11" i="1"/>
  <c r="H30" i="3" l="1"/>
  <c r="H32" i="3" s="1"/>
  <c r="H27" i="8"/>
  <c r="J28" i="3"/>
  <c r="J30" i="3" s="1"/>
  <c r="J32" i="3" s="1"/>
  <c r="G31" i="8"/>
  <c r="H28" i="8"/>
  <c r="J29" i="3"/>
  <c r="K10" i="9"/>
  <c r="K14" i="3" s="1"/>
  <c r="K20" i="8" s="1"/>
  <c r="G33" i="8"/>
  <c r="K6" i="9"/>
  <c r="K12" i="3" s="1"/>
  <c r="J12" i="3"/>
  <c r="J20" i="8"/>
  <c r="I20" i="8"/>
  <c r="I21" i="8" s="1"/>
  <c r="J7" i="11" s="1"/>
  <c r="I7" i="11"/>
  <c r="G30" i="3"/>
  <c r="G12" i="1"/>
  <c r="G14" i="1" s="1"/>
  <c r="F12" i="1"/>
  <c r="F14" i="1" s="1"/>
  <c r="E12" i="1"/>
  <c r="E14" i="1" l="1"/>
  <c r="E16" i="1" s="1"/>
  <c r="I8" i="11"/>
  <c r="H31" i="8"/>
  <c r="H33" i="8" s="1"/>
  <c r="K19" i="8"/>
  <c r="K21" i="8" s="1"/>
  <c r="K15" i="3"/>
  <c r="J15" i="3"/>
  <c r="J19" i="8"/>
  <c r="J21" i="8" s="1"/>
  <c r="K7" i="11" s="1"/>
  <c r="I29" i="3"/>
  <c r="I28" i="3"/>
  <c r="G32" i="3"/>
  <c r="G16" i="1"/>
  <c r="F16" i="1"/>
  <c r="E41" i="3" l="1"/>
  <c r="E42" i="3" s="1"/>
  <c r="F5" i="8"/>
  <c r="F15" i="8" s="1"/>
  <c r="F33" i="8" s="1"/>
  <c r="F41" i="3"/>
  <c r="L7" i="11"/>
  <c r="I30" i="3"/>
  <c r="I32" i="3" s="1"/>
  <c r="I27" i="8"/>
  <c r="J8" i="11" s="1"/>
  <c r="J27" i="8"/>
  <c r="K8" i="11" s="1"/>
  <c r="I28" i="8"/>
  <c r="J28" i="8"/>
  <c r="K29" i="3" l="1"/>
  <c r="K28" i="8" s="1"/>
  <c r="K28" i="3"/>
  <c r="F42" i="3"/>
  <c r="E43" i="3"/>
  <c r="J31" i="8"/>
  <c r="J33" i="8" s="1"/>
  <c r="I31" i="8"/>
  <c r="I33" i="8" s="1"/>
  <c r="E10" i="3"/>
  <c r="E17" i="3" s="1"/>
  <c r="E35" i="8"/>
  <c r="F34" i="8" s="1"/>
  <c r="F35" i="8" s="1"/>
  <c r="G34" i="8" s="1"/>
  <c r="G35" i="8" s="1"/>
  <c r="H34" i="8" s="1"/>
  <c r="H35" i="8" s="1"/>
  <c r="K30" i="3" l="1"/>
  <c r="K32" i="3" s="1"/>
  <c r="K27" i="8"/>
  <c r="G42" i="3"/>
  <c r="F43" i="3"/>
  <c r="H6" i="3"/>
  <c r="H10" i="3" s="1"/>
  <c r="J6" i="11" s="1"/>
  <c r="J9" i="11" s="1"/>
  <c r="J18" i="11" s="1"/>
  <c r="I34" i="8"/>
  <c r="I35" i="8" s="1"/>
  <c r="E44" i="3"/>
  <c r="E45" i="3"/>
  <c r="F6" i="3"/>
  <c r="L8" i="11" l="1"/>
  <c r="K31" i="8"/>
  <c r="K33" i="8" s="1"/>
  <c r="H42" i="3"/>
  <c r="G43" i="3"/>
  <c r="H17" i="3"/>
  <c r="I6" i="3"/>
  <c r="I10" i="3" s="1"/>
  <c r="J34" i="8"/>
  <c r="J35" i="8" s="1"/>
  <c r="K34" i="8" s="1"/>
  <c r="K35" i="8" s="1"/>
  <c r="F10" i="3"/>
  <c r="G6" i="3"/>
  <c r="G10" i="3" s="1"/>
  <c r="G17" i="3" l="1"/>
  <c r="G45" i="3" s="1"/>
  <c r="I6" i="11"/>
  <c r="I9" i="11" s="1"/>
  <c r="I18" i="11" s="1"/>
  <c r="F17" i="3"/>
  <c r="F44" i="3" s="1"/>
  <c r="I42" i="3"/>
  <c r="H43" i="3"/>
  <c r="H45" i="3" s="1"/>
  <c r="I17" i="3"/>
  <c r="K6" i="11"/>
  <c r="K9" i="11" s="1"/>
  <c r="K18" i="11" s="1"/>
  <c r="J6" i="3"/>
  <c r="J10" i="3" s="1"/>
  <c r="K6" i="3"/>
  <c r="K10" i="3" s="1"/>
  <c r="K17" i="3" s="1"/>
  <c r="F45" i="3" l="1"/>
  <c r="G44" i="3"/>
  <c r="H44" i="3"/>
  <c r="J42" i="3"/>
  <c r="I43" i="3"/>
  <c r="J17" i="3"/>
  <c r="L6" i="11"/>
  <c r="L9" i="11" s="1"/>
  <c r="L16" i="11" l="1"/>
  <c r="L19" i="11" s="1"/>
  <c r="L18" i="11"/>
  <c r="I44" i="3"/>
  <c r="I45" i="3"/>
  <c r="K42" i="3"/>
  <c r="K43" i="3" s="1"/>
  <c r="J43" i="3"/>
  <c r="C20" i="11" l="1"/>
  <c r="J44" i="3"/>
  <c r="J45" i="3"/>
  <c r="K44" i="3"/>
  <c r="K45" i="3"/>
  <c r="M19" i="11"/>
  <c r="M20" i="11" s="1"/>
  <c r="C23" i="11"/>
  <c r="F25" i="11" l="1"/>
</calcChain>
</file>

<file path=xl/sharedStrings.xml><?xml version="1.0" encoding="utf-8"?>
<sst xmlns="http://schemas.openxmlformats.org/spreadsheetml/2006/main" count="439" uniqueCount="204">
  <si>
    <t>Statement of operations as on 31st march 2014</t>
  </si>
  <si>
    <t>Revenue</t>
  </si>
  <si>
    <t>Cost of revenue</t>
  </si>
  <si>
    <t>Gross Profit</t>
  </si>
  <si>
    <t>Operating expenses:</t>
  </si>
  <si>
    <t>Research and devlopment</t>
  </si>
  <si>
    <t>Sales and marketing</t>
  </si>
  <si>
    <t>General and administration</t>
  </si>
  <si>
    <t>Total operating expenses:</t>
  </si>
  <si>
    <t>Operating income</t>
  </si>
  <si>
    <t>Other income(expenses)</t>
  </si>
  <si>
    <t>EBIT</t>
  </si>
  <si>
    <t>Income tax expense</t>
  </si>
  <si>
    <t>Net income</t>
  </si>
  <si>
    <t>Stockholder's equity</t>
  </si>
  <si>
    <t>Amount</t>
  </si>
  <si>
    <t>Common stock</t>
  </si>
  <si>
    <t>Shares</t>
  </si>
  <si>
    <t>Additional paid-in capital</t>
  </si>
  <si>
    <t>Total stockholder's equity</t>
  </si>
  <si>
    <t xml:space="preserve">Issuance of preferred stock net </t>
  </si>
  <si>
    <t>Reclassification of retained earnings due to termination
 of S corporation election</t>
  </si>
  <si>
    <t>Preferred stock dividend to common stockholders</t>
  </si>
  <si>
    <t>Preferred stock dividend accretion</t>
  </si>
  <si>
    <t>Accretion of preferred stock issuance costs</t>
  </si>
  <si>
    <t>Exercise of stock options</t>
  </si>
  <si>
    <t>Stock-based compensation expense</t>
  </si>
  <si>
    <t>Stock options assumed in acquisition</t>
  </si>
  <si>
    <t>Stockholder contribution</t>
  </si>
  <si>
    <t>Cash distribution to stockholders</t>
  </si>
  <si>
    <t>Reincorporation in Delaware and change in par value</t>
  </si>
  <si>
    <t>-</t>
  </si>
  <si>
    <t>Balances</t>
  </si>
  <si>
    <t>Conversion of preferred stock to common stock</t>
  </si>
  <si>
    <t>Consolidated Balance sheet</t>
  </si>
  <si>
    <t>All financials are in US $ Thousand</t>
  </si>
  <si>
    <t>FY12A</t>
  </si>
  <si>
    <t>Current Assets:</t>
  </si>
  <si>
    <t xml:space="preserve">Cash </t>
  </si>
  <si>
    <t>Accounts recievable</t>
  </si>
  <si>
    <t>Inventories,net</t>
  </si>
  <si>
    <t>Prepaid Expenses and other current assets</t>
  </si>
  <si>
    <t>Total current assets</t>
  </si>
  <si>
    <t>Long term Assets:</t>
  </si>
  <si>
    <t>Property and Equipment</t>
  </si>
  <si>
    <t>Intangible assets and goodwill</t>
  </si>
  <si>
    <t>Other long term assets</t>
  </si>
  <si>
    <t>Total long term assets</t>
  </si>
  <si>
    <t>Total assets</t>
  </si>
  <si>
    <t>Current liabilities:</t>
  </si>
  <si>
    <t>Accounts payable</t>
  </si>
  <si>
    <t>Accrued liabilities</t>
  </si>
  <si>
    <t>Deferred revenue</t>
  </si>
  <si>
    <t>Income taxes payable</t>
  </si>
  <si>
    <t>Notes payable and current portion of long-term debt</t>
  </si>
  <si>
    <t>Total current liabilities</t>
  </si>
  <si>
    <t>Long Term Liablities:</t>
  </si>
  <si>
    <t>Long term debt, Less current portion</t>
  </si>
  <si>
    <t>Other Long term liablities</t>
  </si>
  <si>
    <t>Total long term liabilities</t>
  </si>
  <si>
    <t>At the end of December 31st 2010</t>
  </si>
  <si>
    <t xml:space="preserve">At the end of December 31st 2011 </t>
  </si>
  <si>
    <t>Vesting of shares related to early exercise of common stock option</t>
  </si>
  <si>
    <t>Excess tax benefit from stock-based compensation</t>
  </si>
  <si>
    <t>At the end of December 31st 2012</t>
  </si>
  <si>
    <t xml:space="preserve">Vesting of shares related to restricted stock and early exercise of common stock </t>
  </si>
  <si>
    <t>Retirement of common stock</t>
  </si>
  <si>
    <t>Issuance of common stock for acquisition</t>
  </si>
  <si>
    <t>Retained earnings accumulated (deficit)</t>
  </si>
  <si>
    <t>Consolidated cash flow statement</t>
  </si>
  <si>
    <t>(All financials are in US $ Thousand)</t>
  </si>
  <si>
    <t>FY11A</t>
  </si>
  <si>
    <t>FY13A</t>
  </si>
  <si>
    <t>Operating activities:</t>
  </si>
  <si>
    <t>Accounts receivable</t>
  </si>
  <si>
    <t>Inventories</t>
  </si>
  <si>
    <t>Net Cash flow from operations</t>
  </si>
  <si>
    <t>Investing activities:</t>
  </si>
  <si>
    <t>Purchase of property and equipment</t>
  </si>
  <si>
    <t>Net cash used in acquisitions</t>
  </si>
  <si>
    <t>Net Cash from investing activities</t>
  </si>
  <si>
    <t>Financing activities:</t>
  </si>
  <si>
    <t>Net Cash from Financing activities</t>
  </si>
  <si>
    <t xml:space="preserve">Net Increase in Cash </t>
  </si>
  <si>
    <t xml:space="preserve">Beginning Cash </t>
  </si>
  <si>
    <t xml:space="preserve">Ending Cash </t>
  </si>
  <si>
    <t>Reedemable convertible P.S</t>
  </si>
  <si>
    <t>FY14E</t>
  </si>
  <si>
    <t>FY15E</t>
  </si>
  <si>
    <t>FY16E</t>
  </si>
  <si>
    <t>FY17</t>
  </si>
  <si>
    <t>FY18</t>
  </si>
  <si>
    <t>Revenue Assumptions :</t>
  </si>
  <si>
    <t>Revenue growth</t>
  </si>
  <si>
    <t>FY12</t>
  </si>
  <si>
    <t>FY13</t>
  </si>
  <si>
    <t>FY14</t>
  </si>
  <si>
    <t>Revenue from 10 largest customers</t>
  </si>
  <si>
    <t>FY11</t>
  </si>
  <si>
    <t>Revenue from Oustside United states(increase)</t>
  </si>
  <si>
    <t>Revenue growth with the first launch in 2009</t>
  </si>
  <si>
    <t>Effective tax rate</t>
  </si>
  <si>
    <t>Balnace sheet Assupmtions</t>
  </si>
  <si>
    <t>Liabilities</t>
  </si>
  <si>
    <t>FY15</t>
  </si>
  <si>
    <t>FY16</t>
  </si>
  <si>
    <t>Term loan principal and interest</t>
  </si>
  <si>
    <t>FY17E</t>
  </si>
  <si>
    <t>FY18E</t>
  </si>
  <si>
    <t>Effect of changes in short term Assets and liabilities:</t>
  </si>
  <si>
    <t>Prepaid and other assets</t>
  </si>
  <si>
    <t>Accrued liabilties</t>
  </si>
  <si>
    <t xml:space="preserve">Accounts payable </t>
  </si>
  <si>
    <t>Proceeds from Long term Debt</t>
  </si>
  <si>
    <t>Proceeds from other long term liabilities</t>
  </si>
  <si>
    <t>Notes payable and current portion of long term debt.</t>
  </si>
  <si>
    <t>Increase in goodwill or Intangible assets</t>
  </si>
  <si>
    <t>Reedemable convertible preferred stock</t>
  </si>
  <si>
    <t>Stock Holder's deficit:</t>
  </si>
  <si>
    <t>Common Stock</t>
  </si>
  <si>
    <t>Additional Paid up Capital.</t>
  </si>
  <si>
    <t>Accumulated deficit</t>
  </si>
  <si>
    <t xml:space="preserve">Total </t>
  </si>
  <si>
    <t>Additional Paid up Capital</t>
  </si>
  <si>
    <t xml:space="preserve">Reedmable preffered stock </t>
  </si>
  <si>
    <t>Retirement of common Stock</t>
  </si>
  <si>
    <t>Cost of Revenue as % of Revenue</t>
  </si>
  <si>
    <t>March,2012</t>
  </si>
  <si>
    <t>% of Revenue</t>
  </si>
  <si>
    <t>Assuming constant</t>
  </si>
  <si>
    <t>Assuming Constant</t>
  </si>
  <si>
    <t>FY2012</t>
  </si>
  <si>
    <t>FY2013</t>
  </si>
  <si>
    <t>FY2014</t>
  </si>
  <si>
    <t>FY2015</t>
  </si>
  <si>
    <t>FY2016</t>
  </si>
  <si>
    <t>FY2017</t>
  </si>
  <si>
    <t>FY2018</t>
  </si>
  <si>
    <t>FY2011</t>
  </si>
  <si>
    <t>% of Cost</t>
  </si>
  <si>
    <t>Total Cost</t>
  </si>
  <si>
    <t>Long Term Assets:</t>
  </si>
  <si>
    <t>Contractual Obligations:</t>
  </si>
  <si>
    <t>Operating leases</t>
  </si>
  <si>
    <t>Sponsorship commitments</t>
  </si>
  <si>
    <t>License financing arrangement</t>
  </si>
  <si>
    <t>Other contractual commitments</t>
  </si>
  <si>
    <t>Capital equipment purchase commitments</t>
  </si>
  <si>
    <t>Beyond 2018</t>
  </si>
  <si>
    <t>Year Count</t>
  </si>
  <si>
    <t>Earnings</t>
  </si>
  <si>
    <t>Sl. No.</t>
  </si>
  <si>
    <t>FY14P</t>
  </si>
  <si>
    <t>FY15P</t>
  </si>
  <si>
    <t>FY16P</t>
  </si>
  <si>
    <t>FY17P</t>
  </si>
  <si>
    <t>I</t>
  </si>
  <si>
    <t>Free Cash Flow to Equity Holders (FCFE)</t>
  </si>
  <si>
    <t>A</t>
  </si>
  <si>
    <t>PAT (Consolidated)</t>
  </si>
  <si>
    <t>P/L</t>
  </si>
  <si>
    <t>B</t>
  </si>
  <si>
    <t>C</t>
  </si>
  <si>
    <t>[-] Change in Working Capital</t>
  </si>
  <si>
    <t>BS</t>
  </si>
  <si>
    <t>D</t>
  </si>
  <si>
    <t>[-] Capital Expenditure</t>
  </si>
  <si>
    <t>Asset Modeling</t>
  </si>
  <si>
    <t>E</t>
  </si>
  <si>
    <t>[-] Debt Repayment, Net</t>
  </si>
  <si>
    <t>FCFE</t>
  </si>
  <si>
    <t>II</t>
  </si>
  <si>
    <t>Discount Rate</t>
  </si>
  <si>
    <t>Risk free rate</t>
  </si>
  <si>
    <t>Beta</t>
  </si>
  <si>
    <t>Expected return from market</t>
  </si>
  <si>
    <t>Cost of equity</t>
  </si>
  <si>
    <t>III</t>
  </si>
  <si>
    <t>Terminal Growth Rate</t>
  </si>
  <si>
    <t>Terminal Value</t>
  </si>
  <si>
    <t>IV</t>
  </si>
  <si>
    <t>Equity Valuation</t>
  </si>
  <si>
    <t>PV of FCFE</t>
  </si>
  <si>
    <t>[+] PV of Terminal Value</t>
  </si>
  <si>
    <t>Equity Value (Consolidated)</t>
  </si>
  <si>
    <t>V</t>
  </si>
  <si>
    <t>Valuation per share</t>
  </si>
  <si>
    <t>VI</t>
  </si>
  <si>
    <t>Sensitivity Analysis of Valuation per share</t>
  </si>
  <si>
    <t>TERMINAL GROWTH RATE</t>
  </si>
  <si>
    <t>COST OF EQUITY</t>
  </si>
  <si>
    <t>Note: Valuation concepts prevalent in academics indicates treatment of operating leases as financing expenses prior to valuation. Converting operating lease expenses into financing expenses should have no impact on equity valuation. The free cash flows to equity are after both operating and financing expenses, and are thus unaffected by recategorizing operating lease expenses, especially since there is no tax effect from the recategorization. The cost of equity is not affected by the treatment of the present value of operating lease expenses as debt. Hence, we have resorted to valuation by conventional method.</t>
  </si>
  <si>
    <t>Parameter (All financials are in US $ Thousand)</t>
  </si>
  <si>
    <t>GO Pro  - DICOUNTED CASH FLOW VALUATION</t>
  </si>
  <si>
    <t>Total nos. of shares outstanding (Thousands)</t>
  </si>
  <si>
    <t>Contact Us:</t>
  </si>
  <si>
    <t>help@edupristine.com</t>
  </si>
  <si>
    <t>www.edupristine.com/ca</t>
  </si>
  <si>
    <t>© Neev Knowledge Management - EduPristine</t>
  </si>
  <si>
    <t>Disclaimer: This model and the information contained within, is for educational purposes only and as</t>
  </si>
  <si>
    <t>such should not be used to make any INVESTMENT decisions. EduPristine shall not be held liable for</t>
  </si>
  <si>
    <t>any investment decision that the user may or may not take either basing on or taking hints from the</t>
  </si>
  <si>
    <t>information provided here with. EduPristine also not guarantee accuracy of the model. </t>
  </si>
  <si>
    <t>Go Pro Modeling</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</si>
</sst>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 #,##0.00_ ;_ * \-#,##0.00_ ;_ * &quot;-&quot;??_ ;_ @_ "/>
    <numFmt numFmtId="164" formatCode="_(&quot;$&quot;* #,##0.00_);_(&quot;$&quot;* \(#,##0.00\);_(&quot;$&quot;* &quot;-&quot;??_);_(@_)"/>
    <numFmt numFmtId="165" formatCode="_(* #,##0.00_);_(* \(#,##0.00\);_(* &quot;-&quot;??_);_(@_)"/>
    <numFmt numFmtId="166" formatCode="#,##0.000"/>
    <numFmt numFmtId="167" formatCode="_(* #,##0_);_(* \(#,##0\);_(* &quot;-&quot;??_);_(@_)"/>
    <numFmt numFmtId="168" formatCode="0.0%"/>
    <numFmt numFmtId="169" formatCode="[$-14009]d/m/yy;@"/>
    <numFmt numFmtId="170" formatCode="_([$€-2]* #,##0.00_);_([$€-2]* \(#,##0.00\);_([$€-2]* &quot;-&quot;??_)"/>
  </numFmts>
  <fonts count="55" x14ac:knownFonts="1">
    <font>
      <sz val="11"/>
      <color theme="1"/>
      <name val="Calibri"/>
      <family val="2"/>
      <scheme val="minor"/>
    </font>
    <font>
      <b/>
      <sz val="11"/>
      <color theme="1"/>
      <name val="Calibri"/>
      <family val="2"/>
      <scheme val="minor"/>
    </font>
    <font>
      <u/>
      <sz val="11"/>
      <color theme="1"/>
      <name val="Calibri"/>
      <family val="2"/>
      <scheme val="minor"/>
    </font>
    <font>
      <sz val="18"/>
      <color theme="1"/>
      <name val="Calibri"/>
      <family val="2"/>
      <scheme val="minor"/>
    </font>
    <font>
      <b/>
      <sz val="18"/>
      <color theme="1"/>
      <name val="Calibri"/>
      <family val="2"/>
      <scheme val="minor"/>
    </font>
    <font>
      <b/>
      <sz val="9"/>
      <color theme="1"/>
      <name val="Calibri"/>
      <family val="2"/>
      <scheme val="minor"/>
    </font>
    <font>
      <sz val="9"/>
      <color theme="1"/>
      <name val="Calibri"/>
      <family val="2"/>
      <scheme val="minor"/>
    </font>
    <font>
      <sz val="9"/>
      <color rgb="FF000000"/>
      <name val="Arial"/>
      <family val="2"/>
    </font>
    <font>
      <sz val="11"/>
      <color theme="1"/>
      <name val="Calibri"/>
      <family val="2"/>
      <scheme val="minor"/>
    </font>
    <font>
      <sz val="11"/>
      <color theme="4" tint="-0.249977111117893"/>
      <name val="Calibri"/>
      <family val="2"/>
      <scheme val="minor"/>
    </font>
    <font>
      <b/>
      <sz val="14"/>
      <color theme="1"/>
      <name val="Calibri"/>
      <family val="2"/>
      <scheme val="minor"/>
    </font>
    <font>
      <b/>
      <sz val="16"/>
      <color theme="1"/>
      <name val="Calibri"/>
      <family val="2"/>
      <scheme val="minor"/>
    </font>
    <font>
      <sz val="11"/>
      <color theme="1"/>
      <name val="Arial"/>
      <family val="2"/>
    </font>
    <font>
      <b/>
      <sz val="16"/>
      <color theme="1"/>
      <name val="Arial"/>
      <family val="2"/>
    </font>
    <font>
      <b/>
      <sz val="9"/>
      <color theme="1"/>
      <name val="Arial"/>
      <family val="2"/>
    </font>
    <font>
      <sz val="9"/>
      <color theme="1"/>
      <name val="Arial"/>
      <family val="2"/>
    </font>
    <font>
      <b/>
      <sz val="14"/>
      <name val="Calibri"/>
      <family val="2"/>
      <scheme val="minor"/>
    </font>
    <font>
      <sz val="11"/>
      <name val="Calibri"/>
      <family val="2"/>
      <scheme val="minor"/>
    </font>
    <font>
      <b/>
      <sz val="11"/>
      <name val="Calibri"/>
      <family val="2"/>
      <scheme val="minor"/>
    </font>
    <font>
      <sz val="12"/>
      <name val="Calibri"/>
      <family val="2"/>
      <scheme val="minor"/>
    </font>
    <font>
      <b/>
      <sz val="12"/>
      <name val="Calibri"/>
      <family val="2"/>
      <scheme val="minor"/>
    </font>
    <font>
      <b/>
      <sz val="12"/>
      <color theme="3" tint="0.39997558519241921"/>
      <name val="Calibri"/>
      <family val="2"/>
      <scheme val="minor"/>
    </font>
    <font>
      <i/>
      <sz val="11"/>
      <color theme="3" tint="0.39997558519241921"/>
      <name val="Calibri"/>
      <family val="2"/>
      <scheme val="minor"/>
    </font>
    <font>
      <sz val="11"/>
      <color theme="3" tint="0.39997558519241921"/>
      <name val="Calibri"/>
      <family val="2"/>
      <scheme val="minor"/>
    </font>
    <font>
      <i/>
      <sz val="11"/>
      <name val="Calibri"/>
      <family val="2"/>
      <scheme val="minor"/>
    </font>
    <font>
      <b/>
      <i/>
      <sz val="11"/>
      <color theme="3" tint="0.39997558519241921"/>
      <name val="Calibri"/>
      <family val="2"/>
      <scheme val="minor"/>
    </font>
    <font>
      <b/>
      <i/>
      <sz val="11"/>
      <name val="Calibri"/>
      <family val="2"/>
      <scheme val="minor"/>
    </font>
    <font>
      <sz val="9"/>
      <name val="Calibri"/>
      <family val="2"/>
      <scheme val="minor"/>
    </font>
    <font>
      <sz val="9"/>
      <color rgb="FF000000"/>
      <name val="Calibri"/>
      <family val="2"/>
      <scheme val="minor"/>
    </font>
    <font>
      <sz val="10"/>
      <name val="Arial"/>
      <family val="2"/>
    </font>
    <font>
      <sz val="10"/>
      <name val="Calibri"/>
      <family val="2"/>
      <scheme val="minor"/>
    </font>
    <font>
      <b/>
      <sz val="24"/>
      <color rgb="FF4F81BD"/>
      <name val="Calibri"/>
      <family val="2"/>
      <scheme val="minor"/>
    </font>
    <font>
      <sz val="11"/>
      <color rgb="FF4F81BD"/>
      <name val="Calibri"/>
      <family val="2"/>
      <scheme val="minor"/>
    </font>
    <font>
      <sz val="8"/>
      <name val="Calibri"/>
      <family val="2"/>
      <scheme val="minor"/>
    </font>
    <font>
      <b/>
      <sz val="11"/>
      <color rgb="FF7F7F7F"/>
      <name val="Calibri"/>
      <family val="2"/>
      <scheme val="minor"/>
    </font>
    <font>
      <u/>
      <sz val="10"/>
      <color indexed="12"/>
      <name val="Arial"/>
      <family val="2"/>
    </font>
    <font>
      <sz val="11"/>
      <name val="Arial"/>
      <family val="2"/>
    </font>
    <font>
      <b/>
      <sz val="10"/>
      <color rgb="FF262626"/>
      <name val="Arial"/>
      <family val="2"/>
    </font>
    <font>
      <b/>
      <sz val="10"/>
      <name val="Arial"/>
      <family val="2"/>
    </font>
    <font>
      <b/>
      <sz val="10"/>
      <name val="Verdana"/>
      <family val="2"/>
    </font>
    <font>
      <sz val="10"/>
      <name val="Verdana"/>
      <family val="2"/>
    </font>
    <font>
      <sz val="10"/>
      <color indexed="8"/>
      <name val="Verdana"/>
      <family val="2"/>
    </font>
    <font>
      <sz val="11"/>
      <color indexed="8"/>
      <name val="Calibri"/>
      <family val="2"/>
    </font>
    <font>
      <sz val="8"/>
      <name val="Verdana"/>
      <family val="2"/>
    </font>
    <font>
      <sz val="8"/>
      <color indexed="53"/>
      <name val="Verdana"/>
      <family val="2"/>
    </font>
    <font>
      <sz val="8"/>
      <name val="Comic Sans MS"/>
      <family val="4"/>
    </font>
    <font>
      <b/>
      <sz val="8"/>
      <name val="Comic Sans MS"/>
      <family val="4"/>
    </font>
    <font>
      <sz val="10"/>
      <color indexed="55"/>
      <name val="Arial"/>
      <family val="2"/>
    </font>
    <font>
      <b/>
      <sz val="10"/>
      <color indexed="9"/>
      <name val="Verdana"/>
      <family val="2"/>
    </font>
    <font>
      <sz val="10"/>
      <name val="Tahoma"/>
      <family val="2"/>
    </font>
    <font>
      <b/>
      <sz val="9"/>
      <color indexed="23"/>
      <name val="Verdana"/>
      <family val="2"/>
    </font>
    <font>
      <sz val="9"/>
      <color indexed="23"/>
      <name val="Verdana"/>
      <family val="2"/>
    </font>
    <font>
      <sz val="14"/>
      <color indexed="23"/>
      <name val="Verdana"/>
      <family val="2"/>
    </font>
    <font>
      <b/>
      <sz val="10"/>
      <color indexed="23"/>
      <name val="Verdana"/>
      <family val="2"/>
    </font>
    <font>
      <b/>
      <sz val="10"/>
      <name val="Comic Sans MS"/>
      <family val="4"/>
    </font>
  </fonts>
  <fills count="11">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53"/>
        <bgColor indexed="64"/>
      </patternFill>
    </fill>
    <fill>
      <patternFill patternType="solid">
        <fgColor indexed="44"/>
        <bgColor indexed="64"/>
      </patternFill>
    </fill>
    <fill>
      <patternFill patternType="solid">
        <fgColor indexed="40"/>
        <bgColor indexed="64"/>
      </patternFill>
    </fill>
    <fill>
      <patternFill patternType="solid">
        <fgColor indexed="52"/>
        <bgColor indexed="64"/>
      </patternFill>
    </fill>
    <fill>
      <patternFill patternType="solid">
        <fgColor indexed="43"/>
      </patternFill>
    </fill>
    <fill>
      <patternFill patternType="solid">
        <fgColor indexed="8"/>
        <bgColor indexed="64"/>
      </patternFill>
    </fill>
    <fill>
      <patternFill patternType="solid">
        <fgColor indexed="48"/>
        <bgColor indexed="64"/>
      </patternFill>
    </fill>
  </fills>
  <borders count="13">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9"/>
      </left>
      <right style="thin">
        <color indexed="23"/>
      </right>
      <top style="thin">
        <color indexed="9"/>
      </top>
      <bottom style="thin">
        <color indexed="23"/>
      </bottom>
      <diagonal/>
    </border>
    <border>
      <left style="thin">
        <color indexed="23"/>
      </left>
      <right/>
      <top/>
      <bottom/>
      <diagonal/>
    </border>
    <border>
      <left/>
      <right/>
      <top style="thin">
        <color indexed="23"/>
      </top>
      <bottom/>
      <diagonal/>
    </border>
  </borders>
  <cellStyleXfs count="46">
    <xf numFmtId="0" fontId="0" fillId="0" borderId="0"/>
    <xf numFmtId="9" fontId="8" fillId="0" borderId="0" applyFont="0" applyFill="0" applyBorder="0" applyAlignment="0" applyProtection="0"/>
    <xf numFmtId="43" fontId="8" fillId="0" borderId="0" applyFont="0" applyFill="0" applyBorder="0" applyAlignment="0" applyProtection="0"/>
    <xf numFmtId="0" fontId="29" fillId="0" borderId="0"/>
    <xf numFmtId="0" fontId="35" fillId="0" borderId="0" applyNumberFormat="0" applyFill="0" applyBorder="0" applyAlignment="0" applyProtection="0">
      <alignment vertical="top"/>
      <protection locked="0"/>
    </xf>
    <xf numFmtId="0" fontId="39" fillId="4" borderId="0">
      <alignment horizontal="center"/>
    </xf>
    <xf numFmtId="4" fontId="40" fillId="5" borderId="0" applyBorder="0" applyAlignment="0" applyProtection="0"/>
    <xf numFmtId="4" fontId="41" fillId="6" borderId="0" applyBorder="0" applyAlignment="0" applyProtection="0"/>
    <xf numFmtId="0" fontId="29" fillId="0" borderId="0" applyFont="0" applyFill="0" applyBorder="0" applyAlignment="0" applyProtection="0"/>
    <xf numFmtId="165" fontId="29" fillId="0" borderId="0" applyFont="0" applyFill="0" applyBorder="0" applyAlignment="0" applyProtection="0"/>
    <xf numFmtId="169" fontId="29" fillId="0" borderId="0" applyFont="0" applyFill="0" applyBorder="0" applyAlignment="0" applyProtection="0"/>
    <xf numFmtId="168" fontId="42" fillId="0" borderId="0" applyFont="0" applyFill="0" applyBorder="0" applyAlignment="0" applyProtection="0"/>
    <xf numFmtId="0" fontId="43" fillId="0" borderId="0" applyNumberFormat="0">
      <alignment vertical="top" wrapText="1"/>
    </xf>
    <xf numFmtId="0" fontId="43" fillId="0" borderId="0" applyNumberFormat="0">
      <alignment vertical="top"/>
    </xf>
    <xf numFmtId="0" fontId="44" fillId="0" borderId="0" applyNumberFormat="0">
      <alignment vertical="top" wrapText="1"/>
    </xf>
    <xf numFmtId="0" fontId="45" fillId="0" borderId="0" applyNumberFormat="0">
      <alignment vertical="top" wrapText="1"/>
    </xf>
    <xf numFmtId="0" fontId="46" fillId="0" borderId="0" applyNumberFormat="0">
      <alignment vertical="top" wrapText="1"/>
    </xf>
    <xf numFmtId="4" fontId="39" fillId="7" borderId="0" applyBorder="0" applyProtection="0"/>
    <xf numFmtId="164" fontId="42" fillId="0" borderId="0" applyFont="0" applyFill="0" applyBorder="0" applyAlignment="0" applyProtection="0"/>
    <xf numFmtId="164" fontId="42" fillId="0" borderId="0" applyFont="0" applyFill="0" applyBorder="0" applyAlignment="0" applyProtection="0"/>
    <xf numFmtId="168" fontId="8"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4" fontId="29" fillId="0" borderId="0" applyFont="0" applyFill="0" applyBorder="0" applyAlignment="0" applyProtection="0"/>
    <xf numFmtId="3" fontId="40" fillId="8" borderId="0" applyNumberFormat="0" applyBorder="0" applyAlignment="0" applyProtection="0"/>
    <xf numFmtId="170" fontId="29" fillId="0" borderId="0" applyFont="0" applyFill="0" applyBorder="0" applyAlignment="0" applyProtection="0"/>
    <xf numFmtId="0" fontId="47" fillId="0" borderId="0" applyNumberFormat="0" applyFill="0" applyBorder="0" applyAlignment="0" applyProtection="0"/>
    <xf numFmtId="0" fontId="48" fillId="9" borderId="0" applyNumberFormat="0" applyProtection="0">
      <alignment horizontal="right"/>
    </xf>
    <xf numFmtId="0" fontId="29" fillId="0" borderId="0"/>
    <xf numFmtId="0" fontId="29" fillId="0" borderId="0"/>
    <xf numFmtId="0" fontId="49" fillId="0" borderId="0"/>
    <xf numFmtId="0" fontId="29" fillId="0" borderId="0"/>
    <xf numFmtId="0" fontId="29" fillId="0" borderId="0"/>
    <xf numFmtId="0" fontId="8" fillId="0" borderId="0"/>
    <xf numFmtId="0" fontId="40" fillId="0" borderId="0"/>
    <xf numFmtId="0" fontId="29" fillId="0" borderId="0"/>
    <xf numFmtId="9" fontId="29" fillId="0" borderId="0" applyFont="0" applyFill="0" applyBorder="0" applyAlignment="0" applyProtection="0"/>
    <xf numFmtId="9" fontId="42" fillId="0" borderId="0" applyFont="0" applyFill="0" applyBorder="0" applyAlignment="0" applyProtection="0"/>
    <xf numFmtId="0" fontId="50" fillId="0" borderId="10">
      <alignment horizontal="right"/>
    </xf>
    <xf numFmtId="0" fontId="50" fillId="7" borderId="10">
      <alignment horizontal="right"/>
    </xf>
    <xf numFmtId="0" fontId="51" fillId="0" borderId="11"/>
    <xf numFmtId="4" fontId="48" fillId="10" borderId="0" applyBorder="0" applyProtection="0"/>
    <xf numFmtId="0" fontId="52" fillId="0" borderId="12"/>
    <xf numFmtId="0" fontId="53" fillId="0" borderId="0" applyNumberFormat="0" applyAlignment="0" applyProtection="0"/>
    <xf numFmtId="0" fontId="53" fillId="0" borderId="11"/>
    <xf numFmtId="0" fontId="54" fillId="0" borderId="0" applyNumberFormat="0" applyFill="0" applyBorder="0" applyProtection="0">
      <alignment horizontal="left"/>
    </xf>
  </cellStyleXfs>
  <cellXfs count="192">
    <xf numFmtId="0" fontId="0" fillId="0" borderId="0" xfId="0"/>
    <xf numFmtId="0" fontId="0" fillId="0" borderId="2" xfId="0" applyBorder="1"/>
    <xf numFmtId="0" fontId="4" fillId="0" borderId="0" xfId="0" applyFont="1"/>
    <xf numFmtId="0" fontId="5" fillId="0" borderId="2" xfId="0" applyFont="1" applyBorder="1"/>
    <xf numFmtId="0" fontId="6" fillId="0" borderId="2" xfId="0" applyFont="1" applyBorder="1"/>
    <xf numFmtId="0" fontId="5" fillId="0" borderId="0" xfId="0" applyFont="1"/>
    <xf numFmtId="0" fontId="6" fillId="0" borderId="0" xfId="0" applyFont="1"/>
    <xf numFmtId="0" fontId="6" fillId="0" borderId="1" xfId="0" applyFont="1" applyBorder="1"/>
    <xf numFmtId="3" fontId="6" fillId="0" borderId="0" xfId="0" applyNumberFormat="1" applyFont="1"/>
    <xf numFmtId="0" fontId="5" fillId="0" borderId="1" xfId="0" applyFont="1" applyBorder="1"/>
    <xf numFmtId="3" fontId="7" fillId="0" borderId="0" xfId="0" applyNumberFormat="1" applyFont="1"/>
    <xf numFmtId="3" fontId="7" fillId="0" borderId="0" xfId="0" applyNumberFormat="1" applyFont="1" applyFill="1" applyBorder="1"/>
    <xf numFmtId="0" fontId="0" fillId="0" borderId="0" xfId="0" applyFont="1" applyFill="1"/>
    <xf numFmtId="3" fontId="3" fillId="0" borderId="0" xfId="0" applyNumberFormat="1" applyFont="1" applyAlignment="1"/>
    <xf numFmtId="3" fontId="0" fillId="0" borderId="0" xfId="0" applyNumberFormat="1"/>
    <xf numFmtId="3" fontId="0" fillId="0" borderId="1" xfId="0" applyNumberFormat="1" applyBorder="1"/>
    <xf numFmtId="3" fontId="6" fillId="0" borderId="1" xfId="0" applyNumberFormat="1" applyFont="1" applyBorder="1"/>
    <xf numFmtId="3" fontId="5" fillId="0" borderId="0" xfId="0" applyNumberFormat="1" applyFont="1" applyAlignment="1">
      <alignment horizontal="centerContinuous"/>
    </xf>
    <xf numFmtId="3" fontId="6" fillId="0" borderId="0" xfId="0" applyNumberFormat="1" applyFont="1" applyAlignment="1">
      <alignment horizontal="centerContinuous"/>
    </xf>
    <xf numFmtId="3" fontId="5" fillId="0" borderId="0" xfId="0" applyNumberFormat="1" applyFont="1" applyAlignment="1"/>
    <xf numFmtId="3" fontId="5" fillId="0" borderId="2" xfId="0" applyNumberFormat="1" applyFont="1" applyBorder="1"/>
    <xf numFmtId="3" fontId="6" fillId="0" borderId="2" xfId="0" applyNumberFormat="1" applyFont="1" applyBorder="1"/>
    <xf numFmtId="3" fontId="6" fillId="0" borderId="3" xfId="0" applyNumberFormat="1" applyFont="1" applyBorder="1"/>
    <xf numFmtId="3" fontId="0" fillId="0" borderId="2" xfId="0" applyNumberFormat="1" applyBorder="1"/>
    <xf numFmtId="3" fontId="5" fillId="0" borderId="0" xfId="0" applyNumberFormat="1" applyFont="1"/>
    <xf numFmtId="3" fontId="6" fillId="0" borderId="1" xfId="0" applyNumberFormat="1" applyFont="1" applyBorder="1" applyAlignment="1"/>
    <xf numFmtId="3" fontId="6" fillId="0" borderId="0" xfId="0" applyNumberFormat="1" applyFont="1" applyAlignment="1"/>
    <xf numFmtId="3" fontId="0" fillId="0" borderId="0" xfId="0" applyNumberFormat="1" applyAlignment="1"/>
    <xf numFmtId="3" fontId="7" fillId="0" borderId="1" xfId="0" applyNumberFormat="1" applyFont="1" applyBorder="1"/>
    <xf numFmtId="3" fontId="6" fillId="0" borderId="0" xfId="0" applyNumberFormat="1" applyFont="1" applyBorder="1"/>
    <xf numFmtId="3" fontId="7" fillId="0" borderId="1" xfId="0" applyNumberFormat="1" applyFont="1" applyBorder="1" applyAlignment="1">
      <alignment vertical="center"/>
    </xf>
    <xf numFmtId="3" fontId="7" fillId="0" borderId="0" xfId="0" applyNumberFormat="1" applyFont="1" applyAlignment="1">
      <alignment vertical="center"/>
    </xf>
    <xf numFmtId="0" fontId="1" fillId="0" borderId="0" xfId="0" applyFont="1"/>
    <xf numFmtId="0" fontId="9" fillId="0" borderId="0" xfId="0" applyFont="1"/>
    <xf numFmtId="9" fontId="9" fillId="0" borderId="0" xfId="0" applyNumberFormat="1" applyFont="1"/>
    <xf numFmtId="0" fontId="0" fillId="0" borderId="0" xfId="0" applyFont="1"/>
    <xf numFmtId="0" fontId="0" fillId="0" borderId="0" xfId="0" applyNumberFormat="1" applyFont="1"/>
    <xf numFmtId="0" fontId="0" fillId="0" borderId="1" xfId="0" applyFont="1" applyBorder="1"/>
    <xf numFmtId="3" fontId="0" fillId="0" borderId="0" xfId="0" applyNumberFormat="1" applyFont="1" applyFill="1" applyAlignment="1">
      <alignment horizontal="right" wrapText="1"/>
    </xf>
    <xf numFmtId="3" fontId="0" fillId="0" borderId="0" xfId="0" applyNumberFormat="1" applyFont="1" applyFill="1"/>
    <xf numFmtId="3" fontId="1" fillId="0" borderId="0" xfId="0" applyNumberFormat="1" applyFont="1" applyFill="1"/>
    <xf numFmtId="3" fontId="0" fillId="0" borderId="0" xfId="0" applyNumberFormat="1" applyFont="1"/>
    <xf numFmtId="4" fontId="0" fillId="0" borderId="0" xfId="0" applyNumberFormat="1" applyFont="1"/>
    <xf numFmtId="0" fontId="1" fillId="0" borderId="1" xfId="0" applyFont="1" applyBorder="1"/>
    <xf numFmtId="3" fontId="1" fillId="0" borderId="0" xfId="0" applyNumberFormat="1" applyFont="1"/>
    <xf numFmtId="4" fontId="1" fillId="0" borderId="0" xfId="0" applyNumberFormat="1" applyFont="1"/>
    <xf numFmtId="166" fontId="0" fillId="0" borderId="0" xfId="0" applyNumberFormat="1" applyFont="1" applyFill="1"/>
    <xf numFmtId="10" fontId="0" fillId="0" borderId="0" xfId="0" applyNumberFormat="1" applyFont="1"/>
    <xf numFmtId="1" fontId="4" fillId="0" borderId="0" xfId="0" applyNumberFormat="1" applyFont="1"/>
    <xf numFmtId="1" fontId="2" fillId="0" borderId="0" xfId="0" applyNumberFormat="1" applyFont="1" applyFill="1" applyBorder="1"/>
    <xf numFmtId="1" fontId="1" fillId="0" borderId="0" xfId="0" applyNumberFormat="1" applyFont="1" applyFill="1"/>
    <xf numFmtId="1" fontId="0" fillId="0" borderId="0" xfId="0" applyNumberFormat="1" applyFont="1" applyFill="1"/>
    <xf numFmtId="1" fontId="0" fillId="0" borderId="0" xfId="0" applyNumberFormat="1" applyFont="1" applyFill="1" applyBorder="1"/>
    <xf numFmtId="1" fontId="0" fillId="0" borderId="0" xfId="0" applyNumberFormat="1" applyFill="1"/>
    <xf numFmtId="1" fontId="1" fillId="0" borderId="2" xfId="0" applyNumberFormat="1" applyFont="1" applyBorder="1"/>
    <xf numFmtId="1" fontId="1" fillId="0" borderId="2" xfId="0" applyNumberFormat="1" applyFont="1" applyFill="1" applyBorder="1"/>
    <xf numFmtId="1" fontId="0" fillId="0" borderId="0" xfId="0" applyNumberFormat="1" applyFont="1"/>
    <xf numFmtId="1" fontId="0" fillId="0" borderId="1" xfId="0" applyNumberFormat="1" applyFont="1" applyBorder="1"/>
    <xf numFmtId="1" fontId="0" fillId="0" borderId="0" xfId="0" applyNumberFormat="1" applyFont="1" applyFill="1" applyAlignment="1">
      <alignment horizontal="right" wrapText="1"/>
    </xf>
    <xf numFmtId="1" fontId="1" fillId="0" borderId="0" xfId="0" applyNumberFormat="1" applyFont="1"/>
    <xf numFmtId="1" fontId="0" fillId="0" borderId="0" xfId="1" applyNumberFormat="1" applyFont="1" applyFill="1"/>
    <xf numFmtId="1" fontId="0" fillId="0" borderId="0" xfId="0" applyNumberFormat="1"/>
    <xf numFmtId="1" fontId="0" fillId="0" borderId="1" xfId="0" applyNumberFormat="1" applyBorder="1"/>
    <xf numFmtId="1" fontId="3" fillId="0" borderId="0" xfId="0" applyNumberFormat="1" applyFont="1" applyAlignment="1"/>
    <xf numFmtId="1" fontId="3" fillId="0" borderId="0" xfId="0" applyNumberFormat="1" applyFont="1"/>
    <xf numFmtId="1" fontId="1" fillId="0" borderId="0" xfId="0" applyNumberFormat="1" applyFont="1" applyAlignment="1"/>
    <xf numFmtId="1" fontId="5" fillId="0" borderId="2" xfId="0" applyNumberFormat="1" applyFont="1" applyBorder="1"/>
    <xf numFmtId="1" fontId="6" fillId="0" borderId="2" xfId="0" applyNumberFormat="1" applyFont="1" applyBorder="1"/>
    <xf numFmtId="1" fontId="6" fillId="0" borderId="3" xfId="0" applyNumberFormat="1" applyFont="1" applyBorder="1"/>
    <xf numFmtId="1" fontId="5" fillId="0" borderId="0" xfId="0" applyNumberFormat="1" applyFont="1"/>
    <xf numFmtId="1" fontId="6" fillId="0" borderId="0" xfId="0" applyNumberFormat="1" applyFont="1"/>
    <xf numFmtId="1" fontId="6" fillId="0" borderId="1" xfId="0" applyNumberFormat="1" applyFont="1" applyBorder="1"/>
    <xf numFmtId="1" fontId="7" fillId="0" borderId="0" xfId="0" applyNumberFormat="1" applyFont="1"/>
    <xf numFmtId="0" fontId="0" fillId="0" borderId="0" xfId="0" applyFont="1" applyBorder="1"/>
    <xf numFmtId="0" fontId="9" fillId="0" borderId="0" xfId="0" applyFont="1" applyBorder="1"/>
    <xf numFmtId="9" fontId="9" fillId="0" borderId="0" xfId="0" applyNumberFormat="1" applyFont="1" applyBorder="1"/>
    <xf numFmtId="3" fontId="0" fillId="0" borderId="0" xfId="0" applyNumberFormat="1" applyFont="1" applyFill="1" applyBorder="1" applyAlignment="1">
      <alignment horizontal="right" wrapText="1"/>
    </xf>
    <xf numFmtId="3" fontId="0" fillId="0" borderId="0" xfId="0" applyNumberFormat="1" applyFont="1" applyFill="1" applyBorder="1"/>
    <xf numFmtId="3" fontId="1" fillId="0" borderId="0" xfId="0" applyNumberFormat="1" applyFont="1" applyFill="1" applyBorder="1"/>
    <xf numFmtId="0" fontId="0" fillId="0" borderId="0" xfId="0" applyFont="1" applyFill="1" applyBorder="1"/>
    <xf numFmtId="0" fontId="1" fillId="0" borderId="0" xfId="0" applyFont="1" applyBorder="1"/>
    <xf numFmtId="3" fontId="0" fillId="0" borderId="0" xfId="0" applyNumberFormat="1" applyFont="1" applyBorder="1"/>
    <xf numFmtId="10" fontId="0" fillId="0" borderId="0" xfId="0" applyNumberFormat="1" applyFont="1" applyBorder="1"/>
    <xf numFmtId="0" fontId="6" fillId="0" borderId="0" xfId="0" applyFont="1" applyBorder="1"/>
    <xf numFmtId="0" fontId="5" fillId="0" borderId="0" xfId="0" applyFont="1" applyBorder="1"/>
    <xf numFmtId="1" fontId="6" fillId="0" borderId="0" xfId="0" applyNumberFormat="1" applyFont="1" applyBorder="1"/>
    <xf numFmtId="1" fontId="7" fillId="0" borderId="0" xfId="0" applyNumberFormat="1" applyFont="1" applyBorder="1"/>
    <xf numFmtId="0" fontId="3" fillId="0" borderId="0" xfId="0" applyFont="1"/>
    <xf numFmtId="0" fontId="10" fillId="0" borderId="0" xfId="0" applyFont="1"/>
    <xf numFmtId="0" fontId="11" fillId="0" borderId="0" xfId="0" applyFont="1"/>
    <xf numFmtId="9" fontId="0" fillId="0" borderId="0" xfId="0" applyNumberFormat="1" applyFont="1" applyFill="1"/>
    <xf numFmtId="17" fontId="1" fillId="0" borderId="0" xfId="0" applyNumberFormat="1" applyFont="1" applyBorder="1"/>
    <xf numFmtId="17" fontId="1" fillId="0" borderId="0" xfId="0" applyNumberFormat="1" applyFont="1"/>
    <xf numFmtId="2" fontId="0" fillId="0" borderId="0" xfId="0" applyNumberFormat="1" applyFont="1"/>
    <xf numFmtId="9" fontId="0" fillId="0" borderId="0" xfId="0" applyNumberFormat="1" applyFont="1" applyFill="1" applyAlignment="1">
      <alignment horizontal="right" wrapText="1"/>
    </xf>
    <xf numFmtId="0" fontId="8" fillId="0" borderId="0" xfId="1" applyNumberFormat="1" applyFont="1" applyFill="1"/>
    <xf numFmtId="0" fontId="8" fillId="0" borderId="0" xfId="1" applyNumberFormat="1" applyFont="1" applyFill="1" applyBorder="1"/>
    <xf numFmtId="9" fontId="8" fillId="0" borderId="0" xfId="1" applyFont="1" applyFill="1"/>
    <xf numFmtId="10" fontId="0" fillId="0" borderId="0" xfId="0" applyNumberFormat="1" applyFont="1" applyFill="1"/>
    <xf numFmtId="9" fontId="6" fillId="0" borderId="0" xfId="0" applyNumberFormat="1" applyFont="1"/>
    <xf numFmtId="9" fontId="0" fillId="0" borderId="0" xfId="0" applyNumberFormat="1" applyFont="1"/>
    <xf numFmtId="9" fontId="7" fillId="0" borderId="0" xfId="0" applyNumberFormat="1" applyFont="1"/>
    <xf numFmtId="9" fontId="7" fillId="0" borderId="0" xfId="0" applyNumberFormat="1" applyFont="1" applyBorder="1"/>
    <xf numFmtId="0" fontId="12" fillId="0" borderId="0" xfId="0" applyFont="1"/>
    <xf numFmtId="0" fontId="12" fillId="0" borderId="0" xfId="0" applyFont="1" applyBorder="1"/>
    <xf numFmtId="0" fontId="13" fillId="0" borderId="0" xfId="0" applyFont="1"/>
    <xf numFmtId="1" fontId="14" fillId="0" borderId="0" xfId="0" applyNumberFormat="1" applyFont="1"/>
    <xf numFmtId="1" fontId="15" fillId="0" borderId="0" xfId="0" applyNumberFormat="1" applyFont="1"/>
    <xf numFmtId="1" fontId="15" fillId="0" borderId="0" xfId="0" applyNumberFormat="1" applyFont="1" applyBorder="1"/>
    <xf numFmtId="9" fontId="12" fillId="0" borderId="0" xfId="0" applyNumberFormat="1" applyFont="1"/>
    <xf numFmtId="9" fontId="15" fillId="0" borderId="0" xfId="0" applyNumberFormat="1" applyFont="1" applyBorder="1"/>
    <xf numFmtId="0" fontId="6" fillId="0" borderId="0" xfId="0" applyNumberFormat="1" applyFont="1"/>
    <xf numFmtId="3" fontId="0" fillId="0" borderId="0" xfId="0" applyNumberFormat="1" applyBorder="1"/>
    <xf numFmtId="3" fontId="5" fillId="0" borderId="4" xfId="0" applyNumberFormat="1" applyFont="1" applyBorder="1"/>
    <xf numFmtId="3" fontId="6" fillId="0" borderId="4" xfId="0" applyNumberFormat="1" applyFont="1" applyBorder="1"/>
    <xf numFmtId="3" fontId="0" fillId="0" borderId="4" xfId="0" applyNumberFormat="1" applyBorder="1"/>
    <xf numFmtId="1" fontId="0" fillId="0" borderId="2" xfId="0" applyNumberFormat="1" applyFont="1" applyBorder="1"/>
    <xf numFmtId="1" fontId="28" fillId="0" borderId="0" xfId="0" applyNumberFormat="1" applyFont="1"/>
    <xf numFmtId="43" fontId="0" fillId="0" borderId="0" xfId="2" applyFont="1"/>
    <xf numFmtId="0" fontId="16" fillId="2" borderId="0" xfId="0" applyFont="1" applyFill="1" applyBorder="1" applyAlignment="1">
      <alignment vertical="center"/>
    </xf>
    <xf numFmtId="0" fontId="16" fillId="2" borderId="1" xfId="0" applyFont="1" applyFill="1" applyBorder="1" applyAlignment="1">
      <alignment vertical="center"/>
    </xf>
    <xf numFmtId="0" fontId="20" fillId="2" borderId="0" xfId="0" applyFont="1" applyFill="1" applyBorder="1" applyAlignment="1" applyProtection="1">
      <alignment horizontal="left" vertical="center"/>
    </xf>
    <xf numFmtId="0" fontId="20" fillId="2" borderId="0" xfId="0" applyFont="1" applyFill="1" applyBorder="1" applyAlignment="1" applyProtection="1">
      <alignment horizontal="right" vertical="center"/>
    </xf>
    <xf numFmtId="167" fontId="20" fillId="2" borderId="0" xfId="2" applyNumberFormat="1" applyFont="1" applyFill="1" applyBorder="1" applyAlignment="1">
      <alignment vertical="center"/>
    </xf>
    <xf numFmtId="167" fontId="21" fillId="2" borderId="0" xfId="2" applyNumberFormat="1" applyFont="1" applyFill="1" applyBorder="1" applyAlignment="1" applyProtection="1">
      <alignment vertical="center"/>
    </xf>
    <xf numFmtId="167" fontId="20" fillId="2" borderId="0" xfId="2" applyNumberFormat="1" applyFont="1" applyFill="1" applyBorder="1" applyAlignment="1" applyProtection="1">
      <alignment vertical="center"/>
    </xf>
    <xf numFmtId="167" fontId="20" fillId="2" borderId="1" xfId="2" applyNumberFormat="1" applyFont="1" applyFill="1" applyBorder="1" applyAlignment="1" applyProtection="1">
      <alignment vertical="center"/>
    </xf>
    <xf numFmtId="0" fontId="18" fillId="2" borderId="0" xfId="0" applyFont="1" applyFill="1" applyBorder="1" applyAlignment="1">
      <alignment vertical="center"/>
    </xf>
    <xf numFmtId="0" fontId="18" fillId="2" borderId="1" xfId="0" applyFont="1" applyFill="1" applyBorder="1" applyAlignment="1">
      <alignment vertical="center"/>
    </xf>
    <xf numFmtId="165" fontId="17" fillId="2" borderId="0" xfId="0" applyNumberFormat="1" applyFont="1" applyFill="1" applyBorder="1" applyAlignment="1">
      <alignment vertical="center"/>
    </xf>
    <xf numFmtId="165" fontId="17" fillId="2" borderId="1" xfId="0" applyNumberFormat="1" applyFont="1" applyFill="1" applyBorder="1" applyAlignment="1">
      <alignment vertical="center"/>
    </xf>
    <xf numFmtId="0" fontId="17" fillId="2" borderId="0" xfId="0" applyFont="1" applyFill="1" applyBorder="1" applyAlignment="1">
      <alignment vertical="center"/>
    </xf>
    <xf numFmtId="0" fontId="17" fillId="2" borderId="1" xfId="0" applyFont="1" applyFill="1" applyBorder="1" applyAlignment="1">
      <alignment vertical="center"/>
    </xf>
    <xf numFmtId="43" fontId="17" fillId="2" borderId="0" xfId="2" applyFont="1" applyFill="1" applyBorder="1" applyAlignment="1">
      <alignment vertical="center"/>
    </xf>
    <xf numFmtId="43" fontId="17" fillId="2" borderId="1" xfId="2" applyFont="1" applyFill="1" applyBorder="1" applyAlignment="1">
      <alignment vertical="center"/>
    </xf>
    <xf numFmtId="0" fontId="18" fillId="2" borderId="0" xfId="0" applyFont="1" applyFill="1" applyBorder="1" applyAlignment="1">
      <alignment horizontal="centerContinuous" vertical="center"/>
    </xf>
    <xf numFmtId="0" fontId="18" fillId="2" borderId="1" xfId="0" applyFont="1" applyFill="1" applyBorder="1" applyAlignment="1">
      <alignment horizontal="centerContinuous" vertical="center"/>
    </xf>
    <xf numFmtId="168" fontId="26" fillId="2" borderId="0" xfId="0" applyNumberFormat="1" applyFont="1" applyFill="1" applyBorder="1" applyAlignment="1">
      <alignment vertical="center"/>
    </xf>
    <xf numFmtId="168" fontId="26" fillId="2" borderId="1" xfId="0" applyNumberFormat="1" applyFont="1" applyFill="1" applyBorder="1" applyAlignment="1">
      <alignment vertical="center"/>
    </xf>
    <xf numFmtId="0" fontId="17" fillId="2" borderId="0" xfId="0" applyFont="1" applyFill="1" applyBorder="1" applyAlignment="1">
      <alignment horizontal="right" vertical="center"/>
    </xf>
    <xf numFmtId="167" fontId="17" fillId="2" borderId="0" xfId="2" applyNumberFormat="1" applyFont="1" applyFill="1" applyBorder="1" applyAlignment="1">
      <alignment vertical="center"/>
    </xf>
    <xf numFmtId="167" fontId="17" fillId="2" borderId="1" xfId="2" applyNumberFormat="1" applyFont="1" applyFill="1" applyBorder="1" applyAlignment="1">
      <alignment vertical="center"/>
    </xf>
    <xf numFmtId="0" fontId="27" fillId="2" borderId="1" xfId="0" applyFont="1" applyFill="1" applyBorder="1" applyAlignment="1">
      <alignment horizontal="left" vertical="center" wrapText="1"/>
    </xf>
    <xf numFmtId="0" fontId="17" fillId="2" borderId="0" xfId="0" applyFont="1" applyFill="1" applyBorder="1" applyAlignment="1">
      <alignment vertical="center" wrapText="1"/>
    </xf>
    <xf numFmtId="0" fontId="19" fillId="2" borderId="0" xfId="0" applyFont="1" applyFill="1" applyBorder="1" applyAlignment="1">
      <alignment horizontal="center" vertical="center"/>
    </xf>
    <xf numFmtId="0" fontId="19" fillId="2" borderId="0" xfId="0" applyFont="1" applyFill="1" applyBorder="1" applyAlignment="1">
      <alignment vertical="center"/>
    </xf>
    <xf numFmtId="0" fontId="19" fillId="2" borderId="0" xfId="0" applyFont="1" applyFill="1" applyBorder="1" applyAlignment="1">
      <alignment vertical="center" wrapText="1"/>
    </xf>
    <xf numFmtId="0" fontId="20" fillId="2" borderId="0" xfId="0" applyFont="1" applyFill="1" applyBorder="1" applyAlignment="1">
      <alignment horizontal="center" vertical="center"/>
    </xf>
    <xf numFmtId="0" fontId="20" fillId="2" borderId="0" xfId="0" applyFont="1" applyFill="1" applyBorder="1" applyAlignment="1">
      <alignment horizontal="right" vertical="center"/>
    </xf>
    <xf numFmtId="167" fontId="20" fillId="2" borderId="0" xfId="2" applyNumberFormat="1" applyFont="1" applyFill="1" applyBorder="1" applyAlignment="1" applyProtection="1">
      <alignment horizontal="right" vertical="center"/>
    </xf>
    <xf numFmtId="167" fontId="20" fillId="2" borderId="0" xfId="2" applyNumberFormat="1" applyFont="1" applyFill="1" applyBorder="1" applyAlignment="1">
      <alignment horizontal="right" vertical="center"/>
    </xf>
    <xf numFmtId="0" fontId="18" fillId="2" borderId="0" xfId="0" applyFont="1" applyFill="1" applyBorder="1" applyAlignment="1">
      <alignment horizontal="center" vertical="center"/>
    </xf>
    <xf numFmtId="0" fontId="18" fillId="2" borderId="0" xfId="0" applyFont="1" applyFill="1" applyBorder="1" applyAlignment="1" applyProtection="1">
      <alignment horizontal="left" vertical="center"/>
    </xf>
    <xf numFmtId="0" fontId="18" fillId="2" borderId="0" xfId="0" applyFont="1" applyFill="1" applyBorder="1" applyAlignment="1">
      <alignment horizontal="right" vertical="center"/>
    </xf>
    <xf numFmtId="0" fontId="17" fillId="2" borderId="0" xfId="0" applyFont="1" applyFill="1" applyBorder="1" applyAlignment="1">
      <alignment horizontal="center" vertical="center"/>
    </xf>
    <xf numFmtId="0" fontId="17" fillId="2" borderId="0" xfId="0" applyFont="1" applyFill="1" applyBorder="1" applyAlignment="1" applyProtection="1">
      <alignment horizontal="left" vertical="center"/>
    </xf>
    <xf numFmtId="165" fontId="18" fillId="2" borderId="0" xfId="0" applyNumberFormat="1" applyFont="1" applyFill="1" applyBorder="1" applyAlignment="1">
      <alignment vertical="center"/>
    </xf>
    <xf numFmtId="168" fontId="22" fillId="2" borderId="0" xfId="1" applyNumberFormat="1" applyFont="1" applyFill="1" applyBorder="1" applyAlignment="1">
      <alignment horizontal="right" vertical="center"/>
    </xf>
    <xf numFmtId="43" fontId="23" fillId="2" borderId="0" xfId="2" applyFont="1" applyFill="1" applyBorder="1" applyAlignment="1">
      <alignment horizontal="right" vertical="center"/>
    </xf>
    <xf numFmtId="168" fontId="24" fillId="2" borderId="0" xfId="1" applyNumberFormat="1" applyFont="1" applyFill="1" applyBorder="1" applyAlignment="1">
      <alignment horizontal="right" vertical="center"/>
    </xf>
    <xf numFmtId="168" fontId="25" fillId="2" borderId="0" xfId="0" applyNumberFormat="1" applyFont="1" applyFill="1" applyBorder="1" applyAlignment="1">
      <alignment horizontal="right" vertical="center"/>
    </xf>
    <xf numFmtId="165" fontId="18" fillId="2" borderId="0" xfId="0" applyNumberFormat="1" applyFont="1" applyFill="1" applyBorder="1" applyAlignment="1">
      <alignment horizontal="right" vertical="center"/>
    </xf>
    <xf numFmtId="43" fontId="18" fillId="2" borderId="0" xfId="0" applyNumberFormat="1" applyFont="1" applyFill="1" applyBorder="1" applyAlignment="1">
      <alignment vertical="center"/>
    </xf>
    <xf numFmtId="165" fontId="17" fillId="2" borderId="0" xfId="0" applyNumberFormat="1" applyFont="1" applyFill="1" applyBorder="1" applyAlignment="1">
      <alignment horizontal="right" vertical="center"/>
    </xf>
    <xf numFmtId="3" fontId="17" fillId="2" borderId="0" xfId="0" applyNumberFormat="1" applyFont="1" applyFill="1" applyBorder="1" applyAlignment="1">
      <alignment horizontal="right" vertical="center"/>
    </xf>
    <xf numFmtId="167" fontId="23" fillId="2" borderId="0" xfId="2" applyNumberFormat="1" applyFont="1" applyFill="1" applyBorder="1" applyAlignment="1">
      <alignment horizontal="right" vertical="center"/>
    </xf>
    <xf numFmtId="168" fontId="25" fillId="2" borderId="0" xfId="0" applyNumberFormat="1" applyFont="1" applyFill="1" applyBorder="1" applyAlignment="1">
      <alignment vertical="center"/>
    </xf>
    <xf numFmtId="167" fontId="20" fillId="2" borderId="1" xfId="2" applyNumberFormat="1" applyFont="1" applyFill="1" applyBorder="1" applyAlignment="1">
      <alignment horizontal="right" vertical="center"/>
    </xf>
    <xf numFmtId="165" fontId="18" fillId="2" borderId="1" xfId="0" applyNumberFormat="1" applyFont="1" applyFill="1" applyBorder="1" applyAlignment="1">
      <alignment vertical="center"/>
    </xf>
    <xf numFmtId="0" fontId="30" fillId="3" borderId="5" xfId="3" applyFont="1" applyFill="1" applyBorder="1"/>
    <xf numFmtId="0" fontId="30" fillId="3" borderId="6" xfId="3" applyFont="1" applyFill="1" applyBorder="1"/>
    <xf numFmtId="0" fontId="30" fillId="0" borderId="6" xfId="3" applyFont="1" applyFill="1" applyBorder="1"/>
    <xf numFmtId="0" fontId="30" fillId="3" borderId="7" xfId="3" applyFont="1" applyFill="1" applyBorder="1"/>
    <xf numFmtId="0" fontId="30" fillId="3" borderId="0" xfId="3" applyFont="1" applyFill="1"/>
    <xf numFmtId="0" fontId="30" fillId="3" borderId="8" xfId="3" applyFont="1" applyFill="1" applyBorder="1"/>
    <xf numFmtId="0" fontId="30" fillId="3" borderId="0" xfId="3" applyFont="1" applyFill="1" applyBorder="1"/>
    <xf numFmtId="0" fontId="30" fillId="3" borderId="9" xfId="3" applyFont="1" applyFill="1" applyBorder="1"/>
    <xf numFmtId="0" fontId="30" fillId="0" borderId="0" xfId="3" applyFont="1" applyFill="1" applyBorder="1"/>
    <xf numFmtId="0" fontId="30" fillId="3" borderId="8" xfId="3" applyFont="1" applyFill="1" applyBorder="1" applyAlignment="1">
      <alignment vertical="center"/>
    </xf>
    <xf numFmtId="0" fontId="30" fillId="3" borderId="0" xfId="3" applyFont="1" applyFill="1" applyAlignment="1">
      <alignment vertical="center"/>
    </xf>
    <xf numFmtId="0" fontId="33" fillId="3" borderId="0" xfId="3" applyFont="1" applyFill="1" applyBorder="1"/>
    <xf numFmtId="0" fontId="34" fillId="0" borderId="0" xfId="3" applyFont="1" applyFill="1" applyBorder="1" applyAlignment="1">
      <alignment horizontal="left"/>
    </xf>
    <xf numFmtId="0" fontId="35" fillId="3" borderId="0" xfId="4" applyFill="1" applyBorder="1" applyAlignment="1" applyProtection="1"/>
    <xf numFmtId="0" fontId="35" fillId="3" borderId="0" xfId="4" applyFill="1" applyAlignment="1" applyProtection="1"/>
    <xf numFmtId="0" fontId="36" fillId="3" borderId="0" xfId="4" applyFont="1" applyFill="1" applyBorder="1" applyAlignment="1" applyProtection="1"/>
    <xf numFmtId="0" fontId="37" fillId="0" borderId="0" xfId="0" applyFont="1" applyAlignment="1">
      <alignment vertical="center"/>
    </xf>
    <xf numFmtId="0" fontId="38" fillId="3" borderId="0" xfId="3" applyFont="1" applyFill="1" applyBorder="1"/>
    <xf numFmtId="0" fontId="31" fillId="0" borderId="0" xfId="3" applyFont="1" applyFill="1" applyBorder="1" applyAlignment="1">
      <alignment horizontal="left" vertical="center"/>
    </xf>
    <xf numFmtId="0" fontId="0" fillId="0" borderId="0" xfId="3" applyFont="1" applyFill="1" applyBorder="1" applyAlignment="1">
      <alignment horizontal="left" vertical="center"/>
    </xf>
    <xf numFmtId="0" fontId="32" fillId="0" borderId="0" xfId="3" applyFont="1" applyFill="1" applyBorder="1" applyAlignment="1">
      <alignment horizontal="left" vertical="center"/>
    </xf>
    <xf numFmtId="0" fontId="18" fillId="2" borderId="0" xfId="0" applyFont="1" applyFill="1" applyBorder="1" applyAlignment="1">
      <alignment horizontal="center" vertical="center" textRotation="90"/>
    </xf>
    <xf numFmtId="0" fontId="27" fillId="2" borderId="0" xfId="0" applyFont="1" applyFill="1" applyBorder="1" applyAlignment="1">
      <alignment horizontal="left" vertical="center" wrapText="1"/>
    </xf>
  </cellXfs>
  <cellStyles count="46">
    <cellStyle name="bullet" xfId="5"/>
    <cellStyle name="calc1" xfId="6"/>
    <cellStyle name="calc2" xfId="7"/>
    <cellStyle name="Comma" xfId="2" builtinId="3"/>
    <cellStyle name="Comma 2" xfId="8"/>
    <cellStyle name="Comma 2 2" xfId="9"/>
    <cellStyle name="Comma 3" xfId="10"/>
    <cellStyle name="Comma 4" xfId="11"/>
    <cellStyle name="comment1" xfId="12"/>
    <cellStyle name="comment1flat" xfId="13"/>
    <cellStyle name="comment1orange" xfId="14"/>
    <cellStyle name="comment2" xfId="15"/>
    <cellStyle name="comment2bold" xfId="16"/>
    <cellStyle name="conclusion" xfId="17"/>
    <cellStyle name="Currency 2" xfId="18"/>
    <cellStyle name="Currency 2 2" xfId="19"/>
    <cellStyle name="Currency 2 2 2" xfId="20"/>
    <cellStyle name="Currency 2 3" xfId="21"/>
    <cellStyle name="Currency 2 4" xfId="22"/>
    <cellStyle name="Currency 3" xfId="23"/>
    <cellStyle name="data" xfId="24"/>
    <cellStyle name="Euro" xfId="25"/>
    <cellStyle name="fade" xfId="26"/>
    <cellStyle name="head" xfId="27"/>
    <cellStyle name="Hyperlink 2" xfId="4"/>
    <cellStyle name="Normal" xfId="0" builtinId="0"/>
    <cellStyle name="Normal 2" xfId="28"/>
    <cellStyle name="Normal 2 2" xfId="29"/>
    <cellStyle name="Normal 2 2 2" xfId="3"/>
    <cellStyle name="Normal 3" xfId="30"/>
    <cellStyle name="Normal 3 2" xfId="31"/>
    <cellStyle name="Normal 4" xfId="32"/>
    <cellStyle name="Normal 4 2" xfId="33"/>
    <cellStyle name="Normal 5" xfId="34"/>
    <cellStyle name="Normal 6" xfId="35"/>
    <cellStyle name="Percent" xfId="1" builtinId="5"/>
    <cellStyle name="Percent 2" xfId="36"/>
    <cellStyle name="Percent 3" xfId="37"/>
    <cellStyle name="qtag" xfId="38"/>
    <cellStyle name="qtagorange" xfId="39"/>
    <cellStyle name="qtext" xfId="40"/>
    <cellStyle name="result" xfId="41"/>
    <cellStyle name="section" xfId="42"/>
    <cellStyle name="subsection" xfId="43"/>
    <cellStyle name="subtitle" xfId="44"/>
    <cellStyle name="text" xfId="45"/>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1</xdr:row>
      <xdr:rowOff>111235</xdr:rowOff>
    </xdr:from>
    <xdr:to>
      <xdr:col>3</xdr:col>
      <xdr:colOff>585649</xdr:colOff>
      <xdr:row>1</xdr:row>
      <xdr:rowOff>1717632</xdr:rowOff>
    </xdr:to>
    <xdr:pic>
      <xdr:nvPicPr>
        <xdr:cNvPr id="2" name="Picture 1" descr="Picture1.png"/>
        <xdr:cNvPicPr>
          <a:picLocks noChangeAspect="1"/>
        </xdr:cNvPicPr>
      </xdr:nvPicPr>
      <xdr:blipFill>
        <a:blip xmlns:r="http://schemas.openxmlformats.org/officeDocument/2006/relationships" r:embed="rId1" cstate="print"/>
        <a:stretch>
          <a:fillRect/>
        </a:stretch>
      </xdr:blipFill>
      <xdr:spPr>
        <a:xfrm>
          <a:off x="76200" y="273160"/>
          <a:ext cx="2566849" cy="1606397"/>
        </a:xfrm>
        <a:prstGeom prst="rect">
          <a:avLst/>
        </a:prstGeom>
      </xdr:spPr>
    </xdr:pic>
    <xdr:clientData/>
  </xdr:twoCellAnchor>
  <xdr:twoCellAnchor editAs="oneCell">
    <xdr:from>
      <xdr:col>4</xdr:col>
      <xdr:colOff>0</xdr:colOff>
      <xdr:row>1</xdr:row>
      <xdr:rowOff>1525818</xdr:rowOff>
    </xdr:from>
    <xdr:to>
      <xdr:col>10</xdr:col>
      <xdr:colOff>869156</xdr:colOff>
      <xdr:row>1</xdr:row>
      <xdr:rowOff>1738312</xdr:rowOff>
    </xdr:to>
    <xdr:pic>
      <xdr:nvPicPr>
        <xdr:cNvPr id="3" name="Picture 2" descr="Picture2.png"/>
        <xdr:cNvPicPr>
          <a:picLocks noChangeAspect="1"/>
        </xdr:cNvPicPr>
      </xdr:nvPicPr>
      <xdr:blipFill>
        <a:blip xmlns:r="http://schemas.openxmlformats.org/officeDocument/2006/relationships" r:embed="rId2" cstate="print"/>
        <a:stretch>
          <a:fillRect/>
        </a:stretch>
      </xdr:blipFill>
      <xdr:spPr>
        <a:xfrm>
          <a:off x="2733675" y="1687743"/>
          <a:ext cx="4526756" cy="2124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D/Documents/Downloads/ExcelLookupFunctionsSeries1-15%20Finish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RISTINE/AppData/Local/Temp/Rar$DI29.6424/exercise-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PRISTINE_PC/Desktop/PD/Mizuho/Day7/Ques-Day7-v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PRISTINE_PC/Desktop/PD/Mizuho/Day7/Answers-Day7-v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Excel%20Cover%20Format/Rupinder/Excel%20VBA%20Introduction/New%20-%20Macros/Ins-Charting.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PRISTINE_PC/Desktop/PD/Mizuho/Day5/Ques-Day5-v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d/HP%20Laptop/PD/HSBC%20v2/Excel%20Books/Excel/examples%202003/Excel%20ExamplesConverted/Chapter14/Analysi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Details"/>
      <sheetName val="Table1"/>
      <sheetName val="VLOOKUP"/>
      <sheetName val="HLOOKUP"/>
      <sheetName val="LOOKUP"/>
      <sheetName val="MATCH"/>
      <sheetName val="INDEX"/>
      <sheetName val="MATCH &amp; INDEX"/>
      <sheetName val="CHOOSE"/>
      <sheetName val="Intersector Operator"/>
    </sheetNames>
    <sheetDataSet>
      <sheetData sheetId="0" refreshError="1"/>
      <sheetData sheetId="1">
        <row r="1">
          <cell r="A1">
            <v>1</v>
          </cell>
          <cell r="B1" t="str">
            <v>Suix</v>
          </cell>
        </row>
        <row r="2">
          <cell r="A2">
            <v>2</v>
          </cell>
          <cell r="B2" t="str">
            <v>Fred</v>
          </cell>
        </row>
        <row r="3">
          <cell r="A3">
            <v>3</v>
          </cell>
          <cell r="B3" t="str">
            <v>Chin</v>
          </cell>
        </row>
        <row r="4">
          <cell r="A4">
            <v>4</v>
          </cell>
          <cell r="B4" t="str">
            <v>Sheliadawn</v>
          </cell>
        </row>
      </sheetData>
      <sheetData sheetId="2">
        <row r="20">
          <cell r="B20" t="str">
            <v>Product 1</v>
          </cell>
        </row>
        <row r="31">
          <cell r="B31" t="str">
            <v>Boom01</v>
          </cell>
        </row>
        <row r="32">
          <cell r="B32" t="str">
            <v>Boom02</v>
          </cell>
        </row>
        <row r="33">
          <cell r="B33" t="str">
            <v>Boom03</v>
          </cell>
        </row>
        <row r="34">
          <cell r="B34" t="str">
            <v>Boom04</v>
          </cell>
        </row>
        <row r="35">
          <cell r="B35" t="str">
            <v>Boom05</v>
          </cell>
        </row>
        <row r="36">
          <cell r="B36" t="str">
            <v>Boom06</v>
          </cell>
        </row>
        <row r="37">
          <cell r="B37" t="str">
            <v>Boom07</v>
          </cell>
        </row>
        <row r="38">
          <cell r="B38" t="str">
            <v>Boom08</v>
          </cell>
        </row>
        <row r="39">
          <cell r="B39" t="str">
            <v>Boom09</v>
          </cell>
        </row>
        <row r="70">
          <cell r="I70">
            <v>0</v>
          </cell>
          <cell r="J70">
            <v>0</v>
          </cell>
          <cell r="K70">
            <v>50000</v>
          </cell>
          <cell r="M70">
            <v>0.15</v>
          </cell>
        </row>
        <row r="71">
          <cell r="I71">
            <v>50001</v>
          </cell>
          <cell r="J71">
            <v>50000</v>
          </cell>
          <cell r="K71">
            <v>75000</v>
          </cell>
          <cell r="L71">
            <v>7500</v>
          </cell>
          <cell r="M71">
            <v>0.25</v>
          </cell>
        </row>
        <row r="72">
          <cell r="I72">
            <v>75001</v>
          </cell>
          <cell r="J72">
            <v>75000</v>
          </cell>
          <cell r="K72">
            <v>100000</v>
          </cell>
          <cell r="L72">
            <v>13750</v>
          </cell>
          <cell r="M72">
            <v>0.34</v>
          </cell>
        </row>
        <row r="73">
          <cell r="I73">
            <v>100001</v>
          </cell>
          <cell r="J73">
            <v>100000</v>
          </cell>
          <cell r="K73">
            <v>335000</v>
          </cell>
          <cell r="L73">
            <v>22250</v>
          </cell>
          <cell r="M73">
            <v>0.39</v>
          </cell>
        </row>
        <row r="74">
          <cell r="I74">
            <v>335001</v>
          </cell>
          <cell r="J74">
            <v>335000</v>
          </cell>
          <cell r="K74">
            <v>10000000</v>
          </cell>
          <cell r="L74">
            <v>113900</v>
          </cell>
          <cell r="M74">
            <v>0.34</v>
          </cell>
        </row>
        <row r="75">
          <cell r="I75">
            <v>10000001</v>
          </cell>
          <cell r="J75">
            <v>10000000</v>
          </cell>
          <cell r="K75">
            <v>15000000</v>
          </cell>
          <cell r="L75">
            <v>3400000.0000000005</v>
          </cell>
          <cell r="M75">
            <v>0.35</v>
          </cell>
        </row>
        <row r="76">
          <cell r="I76">
            <v>15000001</v>
          </cell>
          <cell r="J76">
            <v>15000000</v>
          </cell>
          <cell r="K76">
            <v>18333333</v>
          </cell>
          <cell r="L76">
            <v>5150000</v>
          </cell>
          <cell r="M76">
            <v>0.38</v>
          </cell>
        </row>
        <row r="77">
          <cell r="I77">
            <v>18333334</v>
          </cell>
          <cell r="J77">
            <v>18333333</v>
          </cell>
          <cell r="L77">
            <v>6416666.54</v>
          </cell>
          <cell r="M77">
            <v>0.35</v>
          </cell>
        </row>
      </sheetData>
      <sheetData sheetId="3" refreshError="1"/>
      <sheetData sheetId="4" refreshError="1"/>
      <sheetData sheetId="5" refreshError="1"/>
      <sheetData sheetId="6" refreshError="1"/>
      <sheetData sheetId="7" refreshError="1"/>
      <sheetData sheetId="8" refreshError="1"/>
      <sheetData sheetId="9">
        <row r="8">
          <cell r="E8">
            <v>2709</v>
          </cell>
          <cell r="F8">
            <v>1623</v>
          </cell>
        </row>
        <row r="9">
          <cell r="E9">
            <v>3629</v>
          </cell>
          <cell r="F9">
            <v>2750</v>
          </cell>
        </row>
        <row r="10">
          <cell r="E10">
            <v>4783</v>
          </cell>
          <cell r="F10">
            <v>3708</v>
          </cell>
        </row>
        <row r="11">
          <cell r="C11">
            <v>7659</v>
          </cell>
          <cell r="D11">
            <v>6812</v>
          </cell>
          <cell r="E11">
            <v>5626</v>
          </cell>
          <cell r="F11">
            <v>5000</v>
          </cell>
          <cell r="G11">
            <v>3650</v>
          </cell>
        </row>
        <row r="12">
          <cell r="C12">
            <v>8816</v>
          </cell>
          <cell r="D12">
            <v>7938</v>
          </cell>
          <cell r="E12">
            <v>6596</v>
          </cell>
          <cell r="F12">
            <v>5864</v>
          </cell>
          <cell r="G12">
            <v>4679</v>
          </cell>
        </row>
        <row r="13">
          <cell r="E13">
            <v>7992</v>
          </cell>
          <cell r="F13">
            <v>6900</v>
          </cell>
        </row>
        <row r="14">
          <cell r="E14">
            <v>8761</v>
          </cell>
          <cell r="F14">
            <v>7914</v>
          </cell>
        </row>
        <row r="15">
          <cell r="E15">
            <v>9782</v>
          </cell>
          <cell r="F15">
            <v>8736</v>
          </cell>
        </row>
        <row r="16">
          <cell r="E16">
            <v>10937</v>
          </cell>
          <cell r="F16">
            <v>9746</v>
          </cell>
        </row>
        <row r="17">
          <cell r="E17">
            <v>11732</v>
          </cell>
          <cell r="F17">
            <v>10792</v>
          </cell>
        </row>
        <row r="18">
          <cell r="E18">
            <v>12904</v>
          </cell>
          <cell r="F18">
            <v>11667</v>
          </cell>
        </row>
        <row r="19">
          <cell r="E19">
            <v>13840</v>
          </cell>
          <cell r="F19">
            <v>12792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ting"/>
      <sheetName val="Any-Column Lookup"/>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I"/>
      <sheetName val="DJan"/>
      <sheetName val="DFeb"/>
      <sheetName val="DMar"/>
      <sheetName val="DConsolidated"/>
      <sheetName val="E"/>
      <sheetName val="G"/>
      <sheetName val="H"/>
      <sheetName val="I"/>
      <sheetName val="J"/>
      <sheetName val="J-I"/>
      <sheetName val="J-II"/>
      <sheetName val="J-III"/>
      <sheetName val="J-IV"/>
      <sheetName val="J-V"/>
    </sheetNames>
    <sheetDataSet>
      <sheetData sheetId="0" refreshError="1"/>
      <sheetData sheetId="1" refreshError="1"/>
      <sheetData sheetId="2" refreshError="1"/>
      <sheetData sheetId="3">
        <row r="3">
          <cell r="K3" t="str">
            <v>Jan</v>
          </cell>
        </row>
        <row r="4">
          <cell r="K4" t="str">
            <v>Feb</v>
          </cell>
        </row>
        <row r="5">
          <cell r="K5" t="str">
            <v>Mar</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
      <sheetName val="C"/>
      <sheetName val="D-I"/>
      <sheetName val="DJan"/>
      <sheetName val="DFeb"/>
      <sheetName val="DMar"/>
      <sheetName val="DConsolidated"/>
      <sheetName val="E"/>
      <sheetName val="G"/>
      <sheetName val="H"/>
      <sheetName val="I"/>
      <sheetName val="J"/>
      <sheetName val="J-I"/>
      <sheetName val="J-II"/>
      <sheetName val="J-III"/>
      <sheetName val="J-IV"/>
      <sheetName val="J-V"/>
    </sheetNames>
    <sheetDataSet>
      <sheetData sheetId="0" refreshError="1"/>
      <sheetData sheetId="1" refreshError="1"/>
      <sheetData sheetId="2">
        <row r="3">
          <cell r="G3" t="str">
            <v>Bombay</v>
          </cell>
          <cell r="I3" t="str">
            <v>FRM Comprehensive</v>
          </cell>
        </row>
        <row r="4">
          <cell r="G4" t="str">
            <v>Delhi</v>
          </cell>
          <cell r="I4" t="str">
            <v>CFA Comprehensive</v>
          </cell>
        </row>
        <row r="5">
          <cell r="G5" t="str">
            <v>Bangalore</v>
          </cell>
          <cell r="I5" t="str">
            <v>VisualizeFRM</v>
          </cell>
        </row>
        <row r="6">
          <cell r="G6" t="str">
            <v>Singapore</v>
          </cell>
          <cell r="I6" t="str">
            <v>Corporate Training</v>
          </cell>
        </row>
        <row r="7">
          <cell r="G7" t="str">
            <v>Online</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Histogram"/>
      <sheetName val="Double Line Chart"/>
      <sheetName val="Grouped Chart"/>
      <sheetName val="Pyramid Chart"/>
      <sheetName val="Dynamic Chart - Table"/>
      <sheetName val="Dynamic Chart - Offset"/>
      <sheetName val="Radar Chart"/>
      <sheetName val="Waterfall"/>
      <sheetName val="Waterfall-connector"/>
      <sheetName val="Football Field"/>
      <sheetName val="Gantt"/>
      <sheetName val="Mekko Chart"/>
    </sheetNames>
    <sheetDataSet>
      <sheetData sheetId="0"/>
      <sheetData sheetId="1"/>
      <sheetData sheetId="2"/>
      <sheetData sheetId="3"/>
      <sheetData sheetId="4"/>
      <sheetData sheetId="5"/>
      <sheetData sheetId="6">
        <row r="2">
          <cell r="A2" t="str">
            <v>A</v>
          </cell>
          <cell r="B2">
            <v>20</v>
          </cell>
          <cell r="D2">
            <v>5</v>
          </cell>
        </row>
      </sheetData>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K Answer"/>
      <sheetName val="K Sensitivity"/>
      <sheetName val="K Limits"/>
      <sheetName val="L"/>
      <sheetName val="L-Sol"/>
      <sheetName val="M"/>
      <sheetName val="N"/>
      <sheetName val="O"/>
      <sheetName val="Scroll Bars and Spinners"/>
    </sheetNames>
    <sheetDataSet>
      <sheetData sheetId="0" refreshError="1"/>
      <sheetData sheetId="1" refreshError="1"/>
      <sheetData sheetId="2" refreshError="1"/>
      <sheetData sheetId="3" refreshError="1"/>
      <sheetData sheetId="4"/>
      <sheetData sheetId="5" refreshError="1"/>
      <sheetData sheetId="6"/>
      <sheetData sheetId="7">
        <row r="7">
          <cell r="C7">
            <v>7200</v>
          </cell>
        </row>
      </sheetData>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ture Value"/>
      <sheetName val="Future Value (Data Table)"/>
      <sheetName val="Future Value (2-Inputs)"/>
      <sheetName val="Trend"/>
      <sheetName val="Iterate"/>
      <sheetName val="Correlation"/>
      <sheetName val="Descriptive"/>
      <sheetName val="Histogram"/>
      <sheetName val="Random (Dice Roll)"/>
      <sheetName val="Rank &amp; Percentile"/>
      <sheetName val="Goal Seek"/>
      <sheetName val="Margin"/>
      <sheetName val="Break Even"/>
      <sheetName val="Equations"/>
      <sheetName val="Chart Goal Seek"/>
      <sheetName val="Break Even (Goal Seek)"/>
      <sheetName val="Break Even (Solver)"/>
      <sheetName val="Sheet14"/>
      <sheetName val="Sheet15"/>
      <sheetName val="Sheet16"/>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sheetData sheetId="16">
        <row r="10">
          <cell r="B10">
            <v>193224.57293287982</v>
          </cell>
          <cell r="C10">
            <v>135149.68966776197</v>
          </cell>
        </row>
      </sheetData>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dupristine.com/ca" TargetMode="External"/><Relationship Id="rId1" Type="http://schemas.openxmlformats.org/officeDocument/2006/relationships/hyperlink" Target="mailto:help@edupristine.co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43"/>
  <sheetViews>
    <sheetView showGridLines="0" tabSelected="1" zoomScale="80" zoomScaleNormal="80" workbookViewId="0">
      <selection activeCell="D1" sqref="D1"/>
    </sheetView>
  </sheetViews>
  <sheetFormatPr defaultColWidth="0" defaultRowHeight="12.75" customHeight="1" zeroHeight="1" x14ac:dyDescent="0.2"/>
  <cols>
    <col min="1" max="2" width="10.140625" style="173" customWidth="1"/>
    <col min="3" max="3" width="10.5703125" style="173" customWidth="1"/>
    <col min="4" max="4" width="10.140625" style="173" customWidth="1"/>
    <col min="5" max="10" width="9.140625" style="173" customWidth="1"/>
    <col min="11" max="11" width="15" style="173" customWidth="1"/>
    <col min="12" max="256" width="0" style="173" hidden="1"/>
    <col min="257" max="267" width="9.140625" style="173" hidden="1" customWidth="1"/>
    <col min="268" max="512" width="0" style="173" hidden="1"/>
    <col min="513" max="523" width="9.140625" style="173" hidden="1" customWidth="1"/>
    <col min="524" max="768" width="0" style="173" hidden="1"/>
    <col min="769" max="779" width="9.140625" style="173" hidden="1" customWidth="1"/>
    <col min="780" max="1024" width="0" style="173" hidden="1"/>
    <col min="1025" max="1035" width="9.140625" style="173" hidden="1" customWidth="1"/>
    <col min="1036" max="1280" width="0" style="173" hidden="1"/>
    <col min="1281" max="1291" width="9.140625" style="173" hidden="1" customWidth="1"/>
    <col min="1292" max="1536" width="0" style="173" hidden="1"/>
    <col min="1537" max="1547" width="9.140625" style="173" hidden="1" customWidth="1"/>
    <col min="1548" max="1792" width="0" style="173" hidden="1"/>
    <col min="1793" max="1803" width="9.140625" style="173" hidden="1" customWidth="1"/>
    <col min="1804" max="2048" width="0" style="173" hidden="1"/>
    <col min="2049" max="2059" width="9.140625" style="173" hidden="1" customWidth="1"/>
    <col min="2060" max="2304" width="0" style="173" hidden="1"/>
    <col min="2305" max="2315" width="9.140625" style="173" hidden="1" customWidth="1"/>
    <col min="2316" max="2560" width="0" style="173" hidden="1"/>
    <col min="2561" max="2571" width="9.140625" style="173" hidden="1" customWidth="1"/>
    <col min="2572" max="2816" width="0" style="173" hidden="1"/>
    <col min="2817" max="2827" width="9.140625" style="173" hidden="1" customWidth="1"/>
    <col min="2828" max="3072" width="0" style="173" hidden="1"/>
    <col min="3073" max="3083" width="9.140625" style="173" hidden="1" customWidth="1"/>
    <col min="3084" max="3328" width="0" style="173" hidden="1"/>
    <col min="3329" max="3339" width="9.140625" style="173" hidden="1" customWidth="1"/>
    <col min="3340" max="3584" width="0" style="173" hidden="1"/>
    <col min="3585" max="3595" width="9.140625" style="173" hidden="1" customWidth="1"/>
    <col min="3596" max="3840" width="0" style="173" hidden="1"/>
    <col min="3841" max="3851" width="9.140625" style="173" hidden="1" customWidth="1"/>
    <col min="3852" max="4096" width="0" style="173" hidden="1"/>
    <col min="4097" max="4107" width="9.140625" style="173" hidden="1" customWidth="1"/>
    <col min="4108" max="4352" width="0" style="173" hidden="1"/>
    <col min="4353" max="4363" width="9.140625" style="173" hidden="1" customWidth="1"/>
    <col min="4364" max="4608" width="0" style="173" hidden="1"/>
    <col min="4609" max="4619" width="9.140625" style="173" hidden="1" customWidth="1"/>
    <col min="4620" max="4864" width="0" style="173" hidden="1"/>
    <col min="4865" max="4875" width="9.140625" style="173" hidden="1" customWidth="1"/>
    <col min="4876" max="5120" width="0" style="173" hidden="1"/>
    <col min="5121" max="5131" width="9.140625" style="173" hidden="1" customWidth="1"/>
    <col min="5132" max="5376" width="0" style="173" hidden="1"/>
    <col min="5377" max="5387" width="9.140625" style="173" hidden="1" customWidth="1"/>
    <col min="5388" max="5632" width="0" style="173" hidden="1"/>
    <col min="5633" max="5643" width="9.140625" style="173" hidden="1" customWidth="1"/>
    <col min="5644" max="5888" width="0" style="173" hidden="1"/>
    <col min="5889" max="5899" width="9.140625" style="173" hidden="1" customWidth="1"/>
    <col min="5900" max="6144" width="0" style="173" hidden="1"/>
    <col min="6145" max="6155" width="9.140625" style="173" hidden="1" customWidth="1"/>
    <col min="6156" max="6400" width="0" style="173" hidden="1"/>
    <col min="6401" max="6411" width="9.140625" style="173" hidden="1" customWidth="1"/>
    <col min="6412" max="6656" width="0" style="173" hidden="1"/>
    <col min="6657" max="6667" width="9.140625" style="173" hidden="1" customWidth="1"/>
    <col min="6668" max="6912" width="0" style="173" hidden="1"/>
    <col min="6913" max="6923" width="9.140625" style="173" hidden="1" customWidth="1"/>
    <col min="6924" max="7168" width="0" style="173" hidden="1"/>
    <col min="7169" max="7179" width="9.140625" style="173" hidden="1" customWidth="1"/>
    <col min="7180" max="7424" width="0" style="173" hidden="1"/>
    <col min="7425" max="7435" width="9.140625" style="173" hidden="1" customWidth="1"/>
    <col min="7436" max="7680" width="0" style="173" hidden="1"/>
    <col min="7681" max="7691" width="9.140625" style="173" hidden="1" customWidth="1"/>
    <col min="7692" max="7936" width="0" style="173" hidden="1"/>
    <col min="7937" max="7947" width="9.140625" style="173" hidden="1" customWidth="1"/>
    <col min="7948" max="8192" width="0" style="173" hidden="1"/>
    <col min="8193" max="8203" width="9.140625" style="173" hidden="1" customWidth="1"/>
    <col min="8204" max="8448" width="0" style="173" hidden="1"/>
    <col min="8449" max="8459" width="9.140625" style="173" hidden="1" customWidth="1"/>
    <col min="8460" max="8704" width="0" style="173" hidden="1"/>
    <col min="8705" max="8715" width="9.140625" style="173" hidden="1" customWidth="1"/>
    <col min="8716" max="8960" width="0" style="173" hidden="1"/>
    <col min="8961" max="8971" width="9.140625" style="173" hidden="1" customWidth="1"/>
    <col min="8972" max="9216" width="0" style="173" hidden="1"/>
    <col min="9217" max="9227" width="9.140625" style="173" hidden="1" customWidth="1"/>
    <col min="9228" max="9472" width="0" style="173" hidden="1"/>
    <col min="9473" max="9483" width="9.140625" style="173" hidden="1" customWidth="1"/>
    <col min="9484" max="9728" width="0" style="173" hidden="1"/>
    <col min="9729" max="9739" width="9.140625" style="173" hidden="1" customWidth="1"/>
    <col min="9740" max="9984" width="0" style="173" hidden="1"/>
    <col min="9985" max="9995" width="9.140625" style="173" hidden="1" customWidth="1"/>
    <col min="9996" max="10240" width="0" style="173" hidden="1"/>
    <col min="10241" max="10251" width="9.140625" style="173" hidden="1" customWidth="1"/>
    <col min="10252" max="10496" width="0" style="173" hidden="1"/>
    <col min="10497" max="10507" width="9.140625" style="173" hidden="1" customWidth="1"/>
    <col min="10508" max="10752" width="0" style="173" hidden="1"/>
    <col min="10753" max="10763" width="9.140625" style="173" hidden="1" customWidth="1"/>
    <col min="10764" max="11008" width="0" style="173" hidden="1"/>
    <col min="11009" max="11019" width="9.140625" style="173" hidden="1" customWidth="1"/>
    <col min="11020" max="11264" width="0" style="173" hidden="1"/>
    <col min="11265" max="11275" width="9.140625" style="173" hidden="1" customWidth="1"/>
    <col min="11276" max="11520" width="0" style="173" hidden="1"/>
    <col min="11521" max="11531" width="9.140625" style="173" hidden="1" customWidth="1"/>
    <col min="11532" max="11776" width="0" style="173" hidden="1"/>
    <col min="11777" max="11787" width="9.140625" style="173" hidden="1" customWidth="1"/>
    <col min="11788" max="12032" width="0" style="173" hidden="1"/>
    <col min="12033" max="12043" width="9.140625" style="173" hidden="1" customWidth="1"/>
    <col min="12044" max="12288" width="0" style="173" hidden="1"/>
    <col min="12289" max="12299" width="9.140625" style="173" hidden="1" customWidth="1"/>
    <col min="12300" max="12544" width="0" style="173" hidden="1"/>
    <col min="12545" max="12555" width="9.140625" style="173" hidden="1" customWidth="1"/>
    <col min="12556" max="12800" width="0" style="173" hidden="1"/>
    <col min="12801" max="12811" width="9.140625" style="173" hidden="1" customWidth="1"/>
    <col min="12812" max="13056" width="0" style="173" hidden="1"/>
    <col min="13057" max="13067" width="9.140625" style="173" hidden="1" customWidth="1"/>
    <col min="13068" max="13312" width="0" style="173" hidden="1"/>
    <col min="13313" max="13323" width="9.140625" style="173" hidden="1" customWidth="1"/>
    <col min="13324" max="13568" width="0" style="173" hidden="1"/>
    <col min="13569" max="13579" width="9.140625" style="173" hidden="1" customWidth="1"/>
    <col min="13580" max="13824" width="0" style="173" hidden="1"/>
    <col min="13825" max="13835" width="9.140625" style="173" hidden="1" customWidth="1"/>
    <col min="13836" max="14080" width="0" style="173" hidden="1"/>
    <col min="14081" max="14091" width="9.140625" style="173" hidden="1" customWidth="1"/>
    <col min="14092" max="14336" width="0" style="173" hidden="1"/>
    <col min="14337" max="14347" width="9.140625" style="173" hidden="1" customWidth="1"/>
    <col min="14348" max="14592" width="0" style="173" hidden="1"/>
    <col min="14593" max="14603" width="9.140625" style="173" hidden="1" customWidth="1"/>
    <col min="14604" max="14848" width="0" style="173" hidden="1"/>
    <col min="14849" max="14859" width="9.140625" style="173" hidden="1" customWidth="1"/>
    <col min="14860" max="15104" width="0" style="173" hidden="1"/>
    <col min="15105" max="15115" width="9.140625" style="173" hidden="1" customWidth="1"/>
    <col min="15116" max="15360" width="0" style="173" hidden="1"/>
    <col min="15361" max="15371" width="9.140625" style="173" hidden="1" customWidth="1"/>
    <col min="15372" max="15616" width="0" style="173" hidden="1"/>
    <col min="15617" max="15627" width="9.140625" style="173" hidden="1" customWidth="1"/>
    <col min="15628" max="15872" width="0" style="173" hidden="1"/>
    <col min="15873" max="15883" width="9.140625" style="173" hidden="1" customWidth="1"/>
    <col min="15884" max="16128" width="0" style="173" hidden="1"/>
    <col min="16129" max="16139" width="9.140625" style="173" hidden="1" customWidth="1"/>
    <col min="16140" max="16384" width="0" style="173" hidden="1"/>
  </cols>
  <sheetData>
    <row r="1" spans="1:11" x14ac:dyDescent="0.2">
      <c r="A1" s="169"/>
      <c r="B1" s="170"/>
      <c r="C1" s="170"/>
      <c r="D1" s="170"/>
      <c r="E1" s="170"/>
      <c r="F1" s="171"/>
      <c r="G1" s="170"/>
      <c r="H1" s="170"/>
      <c r="I1" s="170"/>
      <c r="J1" s="170"/>
      <c r="K1" s="172"/>
    </row>
    <row r="2" spans="1:11" ht="140.1" customHeight="1" x14ac:dyDescent="0.2">
      <c r="A2" s="174"/>
      <c r="B2" s="175"/>
      <c r="C2" s="175"/>
      <c r="D2" s="175"/>
      <c r="E2" s="175"/>
      <c r="F2" s="175"/>
      <c r="G2" s="175"/>
      <c r="I2" s="175"/>
      <c r="J2" s="175"/>
      <c r="K2" s="176"/>
    </row>
    <row r="3" spans="1:11" ht="31.5" x14ac:dyDescent="0.2">
      <c r="A3" s="174"/>
      <c r="B3" s="175"/>
      <c r="C3" s="175"/>
      <c r="D3" s="175"/>
      <c r="E3" s="187" t="s">
        <v>203</v>
      </c>
      <c r="F3" s="187"/>
      <c r="G3" s="187"/>
      <c r="H3" s="187"/>
      <c r="I3" s="187"/>
      <c r="J3" s="187"/>
      <c r="K3" s="187"/>
    </row>
    <row r="4" spans="1:11" ht="15" x14ac:dyDescent="0.2">
      <c r="A4" s="174"/>
      <c r="B4" s="175"/>
      <c r="C4" s="175"/>
      <c r="D4" s="177"/>
      <c r="E4" s="188"/>
      <c r="F4" s="189"/>
      <c r="G4" s="189"/>
      <c r="H4" s="189"/>
      <c r="I4" s="189"/>
      <c r="J4" s="189"/>
      <c r="K4" s="189"/>
    </row>
    <row r="5" spans="1:11" x14ac:dyDescent="0.2">
      <c r="A5" s="174"/>
    </row>
    <row r="6" spans="1:11" ht="14.25" customHeight="1" x14ac:dyDescent="0.2">
      <c r="A6" s="174"/>
    </row>
    <row r="7" spans="1:11" ht="14.25" customHeight="1" x14ac:dyDescent="0.2">
      <c r="A7" s="174"/>
      <c r="D7" s="185" t="s">
        <v>199</v>
      </c>
      <c r="E7" s="175"/>
    </row>
    <row r="8" spans="1:11" ht="12.75" customHeight="1" x14ac:dyDescent="0.2">
      <c r="A8" s="174"/>
      <c r="D8" s="186" t="s">
        <v>200</v>
      </c>
      <c r="E8" s="175"/>
      <c r="G8" s="175"/>
    </row>
    <row r="9" spans="1:11" ht="12.75" customHeight="1" x14ac:dyDescent="0.2">
      <c r="A9" s="174"/>
      <c r="D9" s="186" t="s">
        <v>201</v>
      </c>
      <c r="E9" s="175"/>
      <c r="F9" s="175"/>
      <c r="G9" s="175"/>
    </row>
    <row r="10" spans="1:11" ht="12.75" customHeight="1" x14ac:dyDescent="0.2">
      <c r="A10" s="174"/>
      <c r="D10" s="186" t="s">
        <v>202</v>
      </c>
      <c r="E10" s="175"/>
      <c r="F10" s="175"/>
    </row>
    <row r="11" spans="1:11" s="179" customFormat="1" ht="15.75" customHeight="1" x14ac:dyDescent="0.25">
      <c r="A11" s="178"/>
    </row>
    <row r="12" spans="1:11" ht="15" x14ac:dyDescent="0.25">
      <c r="A12" s="174"/>
      <c r="D12" s="181" t="s">
        <v>195</v>
      </c>
      <c r="E12" s="182"/>
      <c r="F12" s="175"/>
    </row>
    <row r="13" spans="1:11" x14ac:dyDescent="0.2">
      <c r="A13" s="174"/>
      <c r="E13" s="182" t="s">
        <v>196</v>
      </c>
      <c r="F13" s="175"/>
    </row>
    <row r="14" spans="1:11" x14ac:dyDescent="0.2">
      <c r="A14" s="180"/>
      <c r="B14" s="175"/>
      <c r="C14" s="175"/>
      <c r="E14" s="183" t="s">
        <v>197</v>
      </c>
      <c r="I14" s="175"/>
      <c r="J14" s="175"/>
      <c r="K14" s="176"/>
    </row>
    <row r="15" spans="1:11" x14ac:dyDescent="0.2">
      <c r="A15" s="180"/>
      <c r="B15" s="175"/>
      <c r="C15" s="175"/>
      <c r="I15" s="175"/>
      <c r="J15" s="175"/>
      <c r="K15" s="176"/>
    </row>
    <row r="16" spans="1:11" ht="14.25" x14ac:dyDescent="0.2">
      <c r="D16" s="184" t="s">
        <v>198</v>
      </c>
      <c r="I16" s="175"/>
      <c r="J16" s="175"/>
      <c r="K16" s="176"/>
    </row>
    <row r="17" spans="2:11" hidden="1" x14ac:dyDescent="0.2">
      <c r="B17" s="175"/>
      <c r="C17" s="175"/>
      <c r="D17" s="175"/>
      <c r="E17" s="175"/>
      <c r="F17" s="175"/>
      <c r="G17" s="175"/>
      <c r="I17" s="175"/>
      <c r="J17" s="175"/>
      <c r="K17" s="176"/>
    </row>
    <row r="18" spans="2:11" hidden="1" x14ac:dyDescent="0.2">
      <c r="B18" s="175"/>
      <c r="C18" s="175"/>
      <c r="D18" s="175"/>
      <c r="E18" s="175"/>
      <c r="F18" s="175"/>
      <c r="G18" s="175"/>
      <c r="I18" s="175"/>
      <c r="J18" s="175"/>
      <c r="K18" s="176"/>
    </row>
    <row r="19" spans="2:11" hidden="1" x14ac:dyDescent="0.2">
      <c r="B19" s="175"/>
      <c r="C19" s="175"/>
      <c r="D19" s="175"/>
      <c r="E19" s="175"/>
      <c r="F19" s="175"/>
      <c r="G19" s="175"/>
      <c r="I19" s="175"/>
      <c r="J19" s="175"/>
      <c r="K19" s="176"/>
    </row>
    <row r="20" spans="2:11" ht="12.75" hidden="1" customHeight="1" x14ac:dyDescent="0.2"/>
    <row r="21" spans="2:11" ht="12.75" hidden="1" customHeight="1" x14ac:dyDescent="0.2"/>
    <row r="22" spans="2:11" ht="12.75" hidden="1" customHeight="1" x14ac:dyDescent="0.2"/>
    <row r="23" spans="2:11" ht="12.75" hidden="1" customHeight="1" x14ac:dyDescent="0.2"/>
    <row r="24" spans="2:11" ht="12.75" hidden="1" customHeight="1" x14ac:dyDescent="0.2"/>
    <row r="25" spans="2:11" ht="12.75" hidden="1" customHeight="1" x14ac:dyDescent="0.2"/>
    <row r="26" spans="2:11" ht="12.75" hidden="1" customHeight="1" x14ac:dyDescent="0.2"/>
    <row r="27" spans="2:11" ht="12.75" hidden="1" customHeight="1" x14ac:dyDescent="0.2"/>
    <row r="28" spans="2:11" ht="12.75" hidden="1" customHeight="1" x14ac:dyDescent="0.2"/>
    <row r="29" spans="2:11" ht="12.75" hidden="1" customHeight="1" x14ac:dyDescent="0.2"/>
    <row r="30" spans="2:11" ht="12.75" hidden="1" customHeight="1" x14ac:dyDescent="0.2"/>
    <row r="31" spans="2:11" ht="12.75" hidden="1" customHeight="1" x14ac:dyDescent="0.2"/>
    <row r="32" spans="2:11" ht="12.75" hidden="1" customHeight="1" x14ac:dyDescent="0.2"/>
    <row r="33" spans="2:11" ht="12.75" hidden="1" customHeight="1" x14ac:dyDescent="0.2"/>
    <row r="34" spans="2:11" ht="12.75" hidden="1" customHeight="1" x14ac:dyDescent="0.2"/>
    <row r="35" spans="2:11" ht="12.75" customHeight="1" x14ac:dyDescent="0.2"/>
    <row r="36" spans="2:11" ht="12.75" customHeight="1" x14ac:dyDescent="0.2"/>
    <row r="37" spans="2:11" ht="12.75" customHeight="1" x14ac:dyDescent="0.2"/>
    <row r="38" spans="2:11" ht="12.75" customHeight="1" x14ac:dyDescent="0.2"/>
    <row r="39" spans="2:11" ht="12.75" customHeight="1" x14ac:dyDescent="0.2">
      <c r="F39" s="175"/>
      <c r="G39" s="175"/>
      <c r="H39" s="175"/>
      <c r="I39" s="175"/>
      <c r="J39" s="175"/>
      <c r="K39" s="175"/>
    </row>
    <row r="40" spans="2:11" ht="12.75" customHeight="1" x14ac:dyDescent="0.2">
      <c r="F40" s="175"/>
      <c r="G40" s="175"/>
      <c r="H40" s="175"/>
      <c r="I40" s="175"/>
      <c r="J40" s="175"/>
      <c r="K40" s="176"/>
    </row>
    <row r="41" spans="2:11" ht="12.75" customHeight="1" x14ac:dyDescent="0.2">
      <c r="F41" s="175"/>
      <c r="G41" s="175"/>
      <c r="I41" s="175"/>
      <c r="J41" s="175"/>
      <c r="K41" s="176"/>
    </row>
    <row r="42" spans="2:11" ht="12.75" customHeight="1" x14ac:dyDescent="0.2">
      <c r="B42" s="186"/>
      <c r="C42" s="175"/>
      <c r="D42" s="175"/>
      <c r="F42" s="175"/>
      <c r="G42" s="175"/>
      <c r="I42" s="175"/>
      <c r="J42" s="175"/>
      <c r="K42" s="175"/>
    </row>
    <row r="43" spans="2:11" ht="12.75" customHeight="1" x14ac:dyDescent="0.2"/>
  </sheetData>
  <sheetProtection selectLockedCells="1" selectUnlockedCells="1"/>
  <mergeCells count="2">
    <mergeCell ref="E3:K3"/>
    <mergeCell ref="E4:K4"/>
  </mergeCells>
  <hyperlinks>
    <hyperlink ref="E13" r:id="rId1"/>
    <hyperlink ref="E14" r:id="rId2"/>
  </hyperlinks>
  <pageMargins left="0.75" right="0.75" top="1" bottom="1" header="0.5" footer="0.5"/>
  <pageSetup paperSize="9" orientation="portrait" verticalDpi="1200"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pane ySplit="3" topLeftCell="A4" activePane="bottomLeft" state="frozen"/>
      <selection activeCell="B1" sqref="B1"/>
      <selection pane="bottomLeft" activeCell="F21" sqref="F21"/>
    </sheetView>
  </sheetViews>
  <sheetFormatPr defaultColWidth="10.28515625" defaultRowHeight="15" x14ac:dyDescent="0.25"/>
  <cols>
    <col min="1" max="1" width="2.42578125" style="154" customWidth="1"/>
    <col min="2" max="2" width="48" style="131" bestFit="1" customWidth="1"/>
    <col min="3" max="3" width="13.28515625" style="139" bestFit="1" customWidth="1"/>
    <col min="4" max="4" width="3.7109375" style="131" customWidth="1"/>
    <col min="5" max="5" width="3.7109375" style="131" bestFit="1" customWidth="1"/>
    <col min="6" max="11" width="12.85546875" style="131" bestFit="1" customWidth="1"/>
    <col min="12" max="12" width="13.28515625" style="132" bestFit="1" customWidth="1"/>
    <col min="13" max="13" width="14.85546875" style="131" bestFit="1" customWidth="1"/>
    <col min="14" max="254" width="10.28515625" style="131"/>
    <col min="255" max="255" width="56.85546875" style="131" customWidth="1"/>
    <col min="256" max="266" width="9.140625" style="131" customWidth="1"/>
    <col min="267" max="510" width="10.28515625" style="131"/>
    <col min="511" max="511" width="56.85546875" style="131" customWidth="1"/>
    <col min="512" max="522" width="9.140625" style="131" customWidth="1"/>
    <col min="523" max="766" width="10.28515625" style="131"/>
    <col min="767" max="767" width="56.85546875" style="131" customWidth="1"/>
    <col min="768" max="778" width="9.140625" style="131" customWidth="1"/>
    <col min="779" max="1022" width="10.28515625" style="131"/>
    <col min="1023" max="1023" width="56.85546875" style="131" customWidth="1"/>
    <col min="1024" max="1034" width="9.140625" style="131" customWidth="1"/>
    <col min="1035" max="1278" width="10.28515625" style="131"/>
    <col min="1279" max="1279" width="56.85546875" style="131" customWidth="1"/>
    <col min="1280" max="1290" width="9.140625" style="131" customWidth="1"/>
    <col min="1291" max="1534" width="10.28515625" style="131"/>
    <col min="1535" max="1535" width="56.85546875" style="131" customWidth="1"/>
    <col min="1536" max="1546" width="9.140625" style="131" customWidth="1"/>
    <col min="1547" max="1790" width="10.28515625" style="131"/>
    <col min="1791" max="1791" width="56.85546875" style="131" customWidth="1"/>
    <col min="1792" max="1802" width="9.140625" style="131" customWidth="1"/>
    <col min="1803" max="2046" width="10.28515625" style="131"/>
    <col min="2047" max="2047" width="56.85546875" style="131" customWidth="1"/>
    <col min="2048" max="2058" width="9.140625" style="131" customWidth="1"/>
    <col min="2059" max="2302" width="10.28515625" style="131"/>
    <col min="2303" max="2303" width="56.85546875" style="131" customWidth="1"/>
    <col min="2304" max="2314" width="9.140625" style="131" customWidth="1"/>
    <col min="2315" max="2558" width="10.28515625" style="131"/>
    <col min="2559" max="2559" width="56.85546875" style="131" customWidth="1"/>
    <col min="2560" max="2570" width="9.140625" style="131" customWidth="1"/>
    <col min="2571" max="2814" width="10.28515625" style="131"/>
    <col min="2815" max="2815" width="56.85546875" style="131" customWidth="1"/>
    <col min="2816" max="2826" width="9.140625" style="131" customWidth="1"/>
    <col min="2827" max="3070" width="10.28515625" style="131"/>
    <col min="3071" max="3071" width="56.85546875" style="131" customWidth="1"/>
    <col min="3072" max="3082" width="9.140625" style="131" customWidth="1"/>
    <col min="3083" max="3326" width="10.28515625" style="131"/>
    <col min="3327" max="3327" width="56.85546875" style="131" customWidth="1"/>
    <col min="3328" max="3338" width="9.140625" style="131" customWidth="1"/>
    <col min="3339" max="3582" width="10.28515625" style="131"/>
    <col min="3583" max="3583" width="56.85546875" style="131" customWidth="1"/>
    <col min="3584" max="3594" width="9.140625" style="131" customWidth="1"/>
    <col min="3595" max="3838" width="10.28515625" style="131"/>
    <col min="3839" max="3839" width="56.85546875" style="131" customWidth="1"/>
    <col min="3840" max="3850" width="9.140625" style="131" customWidth="1"/>
    <col min="3851" max="4094" width="10.28515625" style="131"/>
    <col min="4095" max="4095" width="56.85546875" style="131" customWidth="1"/>
    <col min="4096" max="4106" width="9.140625" style="131" customWidth="1"/>
    <col min="4107" max="4350" width="10.28515625" style="131"/>
    <col min="4351" max="4351" width="56.85546875" style="131" customWidth="1"/>
    <col min="4352" max="4362" width="9.140625" style="131" customWidth="1"/>
    <col min="4363" max="4606" width="10.28515625" style="131"/>
    <col min="4607" max="4607" width="56.85546875" style="131" customWidth="1"/>
    <col min="4608" max="4618" width="9.140625" style="131" customWidth="1"/>
    <col min="4619" max="4862" width="10.28515625" style="131"/>
    <col min="4863" max="4863" width="56.85546875" style="131" customWidth="1"/>
    <col min="4864" max="4874" width="9.140625" style="131" customWidth="1"/>
    <col min="4875" max="5118" width="10.28515625" style="131"/>
    <col min="5119" max="5119" width="56.85546875" style="131" customWidth="1"/>
    <col min="5120" max="5130" width="9.140625" style="131" customWidth="1"/>
    <col min="5131" max="5374" width="10.28515625" style="131"/>
    <col min="5375" max="5375" width="56.85546875" style="131" customWidth="1"/>
    <col min="5376" max="5386" width="9.140625" style="131" customWidth="1"/>
    <col min="5387" max="5630" width="10.28515625" style="131"/>
    <col min="5631" max="5631" width="56.85546875" style="131" customWidth="1"/>
    <col min="5632" max="5642" width="9.140625" style="131" customWidth="1"/>
    <col min="5643" max="5886" width="10.28515625" style="131"/>
    <col min="5887" max="5887" width="56.85546875" style="131" customWidth="1"/>
    <col min="5888" max="5898" width="9.140625" style="131" customWidth="1"/>
    <col min="5899" max="6142" width="10.28515625" style="131"/>
    <col min="6143" max="6143" width="56.85546875" style="131" customWidth="1"/>
    <col min="6144" max="6154" width="9.140625" style="131" customWidth="1"/>
    <col min="6155" max="6398" width="10.28515625" style="131"/>
    <col min="6399" max="6399" width="56.85546875" style="131" customWidth="1"/>
    <col min="6400" max="6410" width="9.140625" style="131" customWidth="1"/>
    <col min="6411" max="6654" width="10.28515625" style="131"/>
    <col min="6655" max="6655" width="56.85546875" style="131" customWidth="1"/>
    <col min="6656" max="6666" width="9.140625" style="131" customWidth="1"/>
    <col min="6667" max="6910" width="10.28515625" style="131"/>
    <col min="6911" max="6911" width="56.85546875" style="131" customWidth="1"/>
    <col min="6912" max="6922" width="9.140625" style="131" customWidth="1"/>
    <col min="6923" max="7166" width="10.28515625" style="131"/>
    <col min="7167" max="7167" width="56.85546875" style="131" customWidth="1"/>
    <col min="7168" max="7178" width="9.140625" style="131" customWidth="1"/>
    <col min="7179" max="7422" width="10.28515625" style="131"/>
    <col min="7423" max="7423" width="56.85546875" style="131" customWidth="1"/>
    <col min="7424" max="7434" width="9.140625" style="131" customWidth="1"/>
    <col min="7435" max="7678" width="10.28515625" style="131"/>
    <col min="7679" max="7679" width="56.85546875" style="131" customWidth="1"/>
    <col min="7680" max="7690" width="9.140625" style="131" customWidth="1"/>
    <col min="7691" max="7934" width="10.28515625" style="131"/>
    <col min="7935" max="7935" width="56.85546875" style="131" customWidth="1"/>
    <col min="7936" max="7946" width="9.140625" style="131" customWidth="1"/>
    <col min="7947" max="8190" width="10.28515625" style="131"/>
    <col min="8191" max="8191" width="56.85546875" style="131" customWidth="1"/>
    <col min="8192" max="8202" width="9.140625" style="131" customWidth="1"/>
    <col min="8203" max="8446" width="10.28515625" style="131"/>
    <col min="8447" max="8447" width="56.85546875" style="131" customWidth="1"/>
    <col min="8448" max="8458" width="9.140625" style="131" customWidth="1"/>
    <col min="8459" max="8702" width="10.28515625" style="131"/>
    <col min="8703" max="8703" width="56.85546875" style="131" customWidth="1"/>
    <col min="8704" max="8714" width="9.140625" style="131" customWidth="1"/>
    <col min="8715" max="8958" width="10.28515625" style="131"/>
    <col min="8959" max="8959" width="56.85546875" style="131" customWidth="1"/>
    <col min="8960" max="8970" width="9.140625" style="131" customWidth="1"/>
    <col min="8971" max="9214" width="10.28515625" style="131"/>
    <col min="9215" max="9215" width="56.85546875" style="131" customWidth="1"/>
    <col min="9216" max="9226" width="9.140625" style="131" customWidth="1"/>
    <col min="9227" max="9470" width="10.28515625" style="131"/>
    <col min="9471" max="9471" width="56.85546875" style="131" customWidth="1"/>
    <col min="9472" max="9482" width="9.140625" style="131" customWidth="1"/>
    <col min="9483" max="9726" width="10.28515625" style="131"/>
    <col min="9727" max="9727" width="56.85546875" style="131" customWidth="1"/>
    <col min="9728" max="9738" width="9.140625" style="131" customWidth="1"/>
    <col min="9739" max="9982" width="10.28515625" style="131"/>
    <col min="9983" max="9983" width="56.85546875" style="131" customWidth="1"/>
    <col min="9984" max="9994" width="9.140625" style="131" customWidth="1"/>
    <col min="9995" max="10238" width="10.28515625" style="131"/>
    <col min="10239" max="10239" width="56.85546875" style="131" customWidth="1"/>
    <col min="10240" max="10250" width="9.140625" style="131" customWidth="1"/>
    <col min="10251" max="10494" width="10.28515625" style="131"/>
    <col min="10495" max="10495" width="56.85546875" style="131" customWidth="1"/>
    <col min="10496" max="10506" width="9.140625" style="131" customWidth="1"/>
    <col min="10507" max="10750" width="10.28515625" style="131"/>
    <col min="10751" max="10751" width="56.85546875" style="131" customWidth="1"/>
    <col min="10752" max="10762" width="9.140625" style="131" customWidth="1"/>
    <col min="10763" max="11006" width="10.28515625" style="131"/>
    <col min="11007" max="11007" width="56.85546875" style="131" customWidth="1"/>
    <col min="11008" max="11018" width="9.140625" style="131" customWidth="1"/>
    <col min="11019" max="11262" width="10.28515625" style="131"/>
    <col min="11263" max="11263" width="56.85546875" style="131" customWidth="1"/>
    <col min="11264" max="11274" width="9.140625" style="131" customWidth="1"/>
    <col min="11275" max="11518" width="10.28515625" style="131"/>
    <col min="11519" max="11519" width="56.85546875" style="131" customWidth="1"/>
    <col min="11520" max="11530" width="9.140625" style="131" customWidth="1"/>
    <col min="11531" max="11774" width="10.28515625" style="131"/>
    <col min="11775" max="11775" width="56.85546875" style="131" customWidth="1"/>
    <col min="11776" max="11786" width="9.140625" style="131" customWidth="1"/>
    <col min="11787" max="12030" width="10.28515625" style="131"/>
    <col min="12031" max="12031" width="56.85546875" style="131" customWidth="1"/>
    <col min="12032" max="12042" width="9.140625" style="131" customWidth="1"/>
    <col min="12043" max="12286" width="10.28515625" style="131"/>
    <col min="12287" max="12287" width="56.85546875" style="131" customWidth="1"/>
    <col min="12288" max="12298" width="9.140625" style="131" customWidth="1"/>
    <col min="12299" max="12542" width="10.28515625" style="131"/>
    <col min="12543" max="12543" width="56.85546875" style="131" customWidth="1"/>
    <col min="12544" max="12554" width="9.140625" style="131" customWidth="1"/>
    <col min="12555" max="12798" width="10.28515625" style="131"/>
    <col min="12799" max="12799" width="56.85546875" style="131" customWidth="1"/>
    <col min="12800" max="12810" width="9.140625" style="131" customWidth="1"/>
    <col min="12811" max="13054" width="10.28515625" style="131"/>
    <col min="13055" max="13055" width="56.85546875" style="131" customWidth="1"/>
    <col min="13056" max="13066" width="9.140625" style="131" customWidth="1"/>
    <col min="13067" max="13310" width="10.28515625" style="131"/>
    <col min="13311" max="13311" width="56.85546875" style="131" customWidth="1"/>
    <col min="13312" max="13322" width="9.140625" style="131" customWidth="1"/>
    <col min="13323" max="13566" width="10.28515625" style="131"/>
    <col min="13567" max="13567" width="56.85546875" style="131" customWidth="1"/>
    <col min="13568" max="13578" width="9.140625" style="131" customWidth="1"/>
    <col min="13579" max="13822" width="10.28515625" style="131"/>
    <col min="13823" max="13823" width="56.85546875" style="131" customWidth="1"/>
    <col min="13824" max="13834" width="9.140625" style="131" customWidth="1"/>
    <col min="13835" max="14078" width="10.28515625" style="131"/>
    <col min="14079" max="14079" width="56.85546875" style="131" customWidth="1"/>
    <col min="14080" max="14090" width="9.140625" style="131" customWidth="1"/>
    <col min="14091" max="14334" width="10.28515625" style="131"/>
    <col min="14335" max="14335" width="56.85546875" style="131" customWidth="1"/>
    <col min="14336" max="14346" width="9.140625" style="131" customWidth="1"/>
    <col min="14347" max="14590" width="10.28515625" style="131"/>
    <col min="14591" max="14591" width="56.85546875" style="131" customWidth="1"/>
    <col min="14592" max="14602" width="9.140625" style="131" customWidth="1"/>
    <col min="14603" max="14846" width="10.28515625" style="131"/>
    <col min="14847" max="14847" width="56.85546875" style="131" customWidth="1"/>
    <col min="14848" max="14858" width="9.140625" style="131" customWidth="1"/>
    <col min="14859" max="15102" width="10.28515625" style="131"/>
    <col min="15103" max="15103" width="56.85546875" style="131" customWidth="1"/>
    <col min="15104" max="15114" width="9.140625" style="131" customWidth="1"/>
    <col min="15115" max="15358" width="10.28515625" style="131"/>
    <col min="15359" max="15359" width="56.85546875" style="131" customWidth="1"/>
    <col min="15360" max="15370" width="9.140625" style="131" customWidth="1"/>
    <col min="15371" max="15614" width="10.28515625" style="131"/>
    <col min="15615" max="15615" width="56.85546875" style="131" customWidth="1"/>
    <col min="15616" max="15626" width="9.140625" style="131" customWidth="1"/>
    <col min="15627" max="15870" width="10.28515625" style="131"/>
    <col min="15871" max="15871" width="56.85546875" style="131" customWidth="1"/>
    <col min="15872" max="15882" width="9.140625" style="131" customWidth="1"/>
    <col min="15883" max="16126" width="10.28515625" style="131"/>
    <col min="16127" max="16127" width="56.85546875" style="131" customWidth="1"/>
    <col min="16128" max="16138" width="9.140625" style="131" customWidth="1"/>
    <col min="16139" max="16384" width="10.28515625" style="131"/>
  </cols>
  <sheetData>
    <row r="1" spans="1:13" s="143" customFormat="1" ht="18.75" x14ac:dyDescent="0.25">
      <c r="A1" s="119" t="s">
        <v>193</v>
      </c>
      <c r="B1" s="119"/>
      <c r="C1" s="119"/>
      <c r="D1" s="119"/>
      <c r="E1" s="119"/>
      <c r="F1" s="119"/>
      <c r="G1" s="119"/>
      <c r="H1" s="119"/>
      <c r="I1" s="119"/>
      <c r="J1" s="119"/>
      <c r="K1" s="119"/>
      <c r="L1" s="120"/>
    </row>
    <row r="2" spans="1:13" s="146" customFormat="1" ht="15.75" x14ac:dyDescent="0.25">
      <c r="A2" s="144"/>
      <c r="B2" s="121" t="s">
        <v>149</v>
      </c>
      <c r="C2" s="122"/>
      <c r="D2" s="123"/>
      <c r="E2" s="123"/>
      <c r="F2" s="123"/>
      <c r="G2" s="124"/>
      <c r="H2" s="125"/>
      <c r="I2" s="125">
        <f>H2+1</f>
        <v>1</v>
      </c>
      <c r="J2" s="125">
        <f>I2+1</f>
        <v>2</v>
      </c>
      <c r="K2" s="125">
        <f>J2+1</f>
        <v>3</v>
      </c>
      <c r="L2" s="126">
        <v>6</v>
      </c>
      <c r="M2" s="145" t="s">
        <v>150</v>
      </c>
    </row>
    <row r="3" spans="1:13" s="146" customFormat="1" ht="15.75" x14ac:dyDescent="0.25">
      <c r="A3" s="147" t="s">
        <v>151</v>
      </c>
      <c r="B3" s="121" t="s">
        <v>192</v>
      </c>
      <c r="C3" s="148"/>
      <c r="D3" s="149"/>
      <c r="E3" s="149"/>
      <c r="F3" s="149"/>
      <c r="G3" s="149"/>
      <c r="H3" s="149"/>
      <c r="I3" s="149" t="s">
        <v>152</v>
      </c>
      <c r="J3" s="150" t="s">
        <v>153</v>
      </c>
      <c r="K3" s="150" t="s">
        <v>154</v>
      </c>
      <c r="L3" s="167" t="s">
        <v>155</v>
      </c>
    </row>
    <row r="4" spans="1:13" s="127" customFormat="1" x14ac:dyDescent="0.25">
      <c r="A4" s="151" t="s">
        <v>156</v>
      </c>
      <c r="B4" s="152" t="s">
        <v>157</v>
      </c>
      <c r="C4" s="153"/>
      <c r="L4" s="128"/>
    </row>
    <row r="5" spans="1:13" x14ac:dyDescent="0.25">
      <c r="A5" s="154" t="s">
        <v>158</v>
      </c>
      <c r="B5" s="155" t="s">
        <v>159</v>
      </c>
      <c r="G5" s="156"/>
      <c r="H5" s="156"/>
      <c r="I5" s="156">
        <f>'P&amp;L'!H16</f>
        <v>90834.998772924038</v>
      </c>
      <c r="J5" s="156">
        <f>'P&amp;L'!I16</f>
        <v>122096.87975627143</v>
      </c>
      <c r="K5" s="156">
        <f>'P&amp;L'!J16</f>
        <v>153728.89516479362</v>
      </c>
      <c r="L5" s="168">
        <f>'P&amp;L'!K16</f>
        <v>179616.45767819803</v>
      </c>
      <c r="M5" s="131" t="s">
        <v>160</v>
      </c>
    </row>
    <row r="6" spans="1:13" x14ac:dyDescent="0.25">
      <c r="A6" s="154" t="s">
        <v>162</v>
      </c>
      <c r="B6" s="155" t="s">
        <v>163</v>
      </c>
      <c r="G6" s="129"/>
      <c r="H6" s="129"/>
      <c r="I6" s="129">
        <f>'Balance sheet'!G10-'Balance sheet'!G25</f>
        <v>-9004.7325121981557</v>
      </c>
      <c r="J6" s="129">
        <f>'Balance sheet'!H10-'Balance sheet'!H25</f>
        <v>-29179.289787361166</v>
      </c>
      <c r="K6" s="129">
        <f>'Balance sheet'!I10-'Balance sheet'!I25</f>
        <v>35815.452809366398</v>
      </c>
      <c r="L6" s="130">
        <f>'Balance sheet'!J10-'Balance sheet'!J25</f>
        <v>55301.478410003008</v>
      </c>
      <c r="M6" s="131" t="s">
        <v>164</v>
      </c>
    </row>
    <row r="7" spans="1:13" x14ac:dyDescent="0.25">
      <c r="A7" s="154" t="s">
        <v>165</v>
      </c>
      <c r="B7" s="155" t="s">
        <v>166</v>
      </c>
      <c r="G7" s="129"/>
      <c r="H7" s="129"/>
      <c r="I7" s="129">
        <f>-'Cash Flow Statements'!H21</f>
        <v>140157.11579633216</v>
      </c>
      <c r="J7" s="129">
        <f>-'Cash Flow Statements'!I21</f>
        <v>97053.112810776627</v>
      </c>
      <c r="K7" s="129">
        <f>-'Cash Flow Statements'!J21</f>
        <v>91492.144484690187</v>
      </c>
      <c r="L7" s="130">
        <f>-'Cash Flow Statements'!K21</f>
        <v>64259.014044155309</v>
      </c>
      <c r="M7" s="131" t="s">
        <v>167</v>
      </c>
    </row>
    <row r="8" spans="1:13" x14ac:dyDescent="0.25">
      <c r="A8" s="154" t="s">
        <v>168</v>
      </c>
      <c r="B8" s="155" t="s">
        <v>169</v>
      </c>
      <c r="G8" s="129"/>
      <c r="H8" s="129"/>
      <c r="I8" s="129">
        <f>-'Cash Flow Statements'!H27</f>
        <v>22226.521913552657</v>
      </c>
      <c r="J8" s="129">
        <f>-'Cash Flow Statements'!I27</f>
        <v>-14268.653622251062</v>
      </c>
      <c r="K8" s="129">
        <f>-'Cash Flow Statements'!J27</f>
        <v>77408.614288471596</v>
      </c>
      <c r="L8" s="130">
        <f>-'Cash Flow Statements'!K27</f>
        <v>-2052.9951309941662</v>
      </c>
      <c r="M8" s="131" t="s">
        <v>164</v>
      </c>
    </row>
    <row r="9" spans="1:13" s="127" customFormat="1" x14ac:dyDescent="0.25">
      <c r="A9" s="151"/>
      <c r="B9" s="152" t="s">
        <v>170</v>
      </c>
      <c r="C9" s="153"/>
      <c r="G9" s="156"/>
      <c r="H9" s="156"/>
      <c r="I9" s="156">
        <f>I5-I6-I7-I8</f>
        <v>-62543.906424762623</v>
      </c>
      <c r="J9" s="156">
        <f>J5-J6-J7-J8</f>
        <v>68491.710355107032</v>
      </c>
      <c r="K9" s="156">
        <f>K5-K6-K7-K8</f>
        <v>-50987.316417734561</v>
      </c>
      <c r="L9" s="168">
        <f>L5-L6-L7-L8</f>
        <v>62108.96035503388</v>
      </c>
    </row>
    <row r="10" spans="1:13" x14ac:dyDescent="0.25">
      <c r="A10" s="151" t="s">
        <v>171</v>
      </c>
      <c r="B10" s="152" t="s">
        <v>172</v>
      </c>
    </row>
    <row r="11" spans="1:13" x14ac:dyDescent="0.25">
      <c r="A11" s="154" t="s">
        <v>158</v>
      </c>
      <c r="B11" s="131" t="s">
        <v>173</v>
      </c>
      <c r="C11" s="157">
        <v>3.7499999999999999E-2</v>
      </c>
    </row>
    <row r="12" spans="1:13" x14ac:dyDescent="0.25">
      <c r="A12" s="154" t="s">
        <v>161</v>
      </c>
      <c r="B12" s="131" t="s">
        <v>174</v>
      </c>
      <c r="C12" s="158">
        <v>0.6</v>
      </c>
    </row>
    <row r="13" spans="1:13" x14ac:dyDescent="0.25">
      <c r="A13" s="154" t="s">
        <v>162</v>
      </c>
      <c r="B13" s="131" t="s">
        <v>175</v>
      </c>
      <c r="C13" s="157">
        <v>0.09</v>
      </c>
    </row>
    <row r="14" spans="1:13" x14ac:dyDescent="0.25">
      <c r="A14" s="154" t="s">
        <v>165</v>
      </c>
      <c r="B14" s="131" t="s">
        <v>176</v>
      </c>
      <c r="C14" s="159">
        <f>C11+C12*(C13-C11)</f>
        <v>6.9000000000000006E-2</v>
      </c>
    </row>
    <row r="15" spans="1:13" s="127" customFormat="1" x14ac:dyDescent="0.25">
      <c r="A15" s="151" t="s">
        <v>177</v>
      </c>
      <c r="B15" s="127" t="s">
        <v>178</v>
      </c>
      <c r="C15" s="160">
        <v>0.04</v>
      </c>
      <c r="L15" s="128"/>
    </row>
    <row r="16" spans="1:13" x14ac:dyDescent="0.25">
      <c r="A16" s="154" t="s">
        <v>158</v>
      </c>
      <c r="B16" s="131" t="s">
        <v>179</v>
      </c>
      <c r="K16" s="133"/>
      <c r="L16" s="134">
        <f>L9*(1+C15)/(C14-C15)</f>
        <v>2227355.8196288007</v>
      </c>
    </row>
    <row r="17" spans="1:13" x14ac:dyDescent="0.25">
      <c r="A17" s="151" t="s">
        <v>180</v>
      </c>
      <c r="B17" s="127" t="s">
        <v>181</v>
      </c>
      <c r="K17" s="133"/>
      <c r="L17" s="134"/>
    </row>
    <row r="18" spans="1:13" x14ac:dyDescent="0.25">
      <c r="A18" s="154" t="s">
        <v>158</v>
      </c>
      <c r="B18" s="131" t="s">
        <v>182</v>
      </c>
      <c r="G18" s="129">
        <f>G9/(1+C14)^C11</f>
        <v>0</v>
      </c>
      <c r="H18" s="129">
        <f t="shared" ref="H18" si="0">H9/(1+D14)^D11</f>
        <v>0</v>
      </c>
      <c r="I18" s="129">
        <f>I9/(1+E14)^E11</f>
        <v>-62543.906424762623</v>
      </c>
      <c r="J18" s="129">
        <f>J9/(1+F14)^F11</f>
        <v>68491.710355107032</v>
      </c>
      <c r="K18" s="129">
        <f>K9/(1+G14)^G11</f>
        <v>-50987.316417734561</v>
      </c>
      <c r="L18" s="130">
        <f>L9/(1+H14)^H11</f>
        <v>62108.96035503388</v>
      </c>
    </row>
    <row r="19" spans="1:13" x14ac:dyDescent="0.25">
      <c r="A19" s="154" t="s">
        <v>161</v>
      </c>
      <c r="B19" s="131" t="s">
        <v>183</v>
      </c>
      <c r="K19" s="129"/>
      <c r="L19" s="130">
        <f>L16*(1+C14)^L2</f>
        <v>3323960.3319291389</v>
      </c>
      <c r="M19" s="129">
        <f>SUM(G18:L18,L19)</f>
        <v>3341029.7797967824</v>
      </c>
    </row>
    <row r="20" spans="1:13" s="127" customFormat="1" x14ac:dyDescent="0.25">
      <c r="A20" s="151" t="s">
        <v>162</v>
      </c>
      <c r="B20" s="127" t="s">
        <v>184</v>
      </c>
      <c r="C20" s="161">
        <f>SUM(I18:L18,L19)</f>
        <v>3341029.7797967824</v>
      </c>
      <c r="L20" s="128"/>
      <c r="M20" s="162">
        <f>M19/1000000</f>
        <v>3.3410297797967825</v>
      </c>
    </row>
    <row r="21" spans="1:13" x14ac:dyDescent="0.25">
      <c r="A21" s="151" t="s">
        <v>185</v>
      </c>
      <c r="B21" s="127" t="s">
        <v>186</v>
      </c>
      <c r="C21" s="163"/>
    </row>
    <row r="22" spans="1:13" x14ac:dyDescent="0.25">
      <c r="B22" s="131" t="s">
        <v>194</v>
      </c>
      <c r="C22" s="164">
        <v>81899</v>
      </c>
    </row>
    <row r="23" spans="1:13" s="127" customFormat="1" x14ac:dyDescent="0.25">
      <c r="A23" s="151"/>
      <c r="B23" s="127" t="s">
        <v>186</v>
      </c>
      <c r="C23" s="165">
        <f>C20/C22</f>
        <v>40.79451250682893</v>
      </c>
      <c r="L23" s="128"/>
    </row>
    <row r="24" spans="1:13" x14ac:dyDescent="0.25">
      <c r="A24" s="151" t="s">
        <v>187</v>
      </c>
      <c r="B24" s="127" t="s">
        <v>188</v>
      </c>
      <c r="G24" s="135" t="s">
        <v>189</v>
      </c>
      <c r="H24" s="135"/>
      <c r="I24" s="135"/>
      <c r="J24" s="135"/>
      <c r="K24" s="135"/>
      <c r="L24" s="136"/>
    </row>
    <row r="25" spans="1:13" x14ac:dyDescent="0.25">
      <c r="F25" s="129">
        <f>C23</f>
        <v>40.79451250682893</v>
      </c>
      <c r="G25" s="166">
        <v>0.03</v>
      </c>
      <c r="H25" s="137">
        <f>G25+0.5%</f>
        <v>3.4999999999999996E-2</v>
      </c>
      <c r="I25" s="137">
        <f t="shared" ref="I25:J25" si="1">H25+0.5%</f>
        <v>3.9999999999999994E-2</v>
      </c>
      <c r="J25" s="137">
        <f t="shared" si="1"/>
        <v>4.4999999999999991E-2</v>
      </c>
      <c r="K25" s="137">
        <f>J25+0.5%</f>
        <v>4.9999999999999989E-2</v>
      </c>
      <c r="L25" s="138"/>
    </row>
    <row r="26" spans="1:13" x14ac:dyDescent="0.25">
      <c r="E26" s="190" t="s">
        <v>190</v>
      </c>
      <c r="F26" s="166">
        <v>0.09</v>
      </c>
      <c r="G26" s="140">
        <v>67.826219252504373</v>
      </c>
      <c r="H26" s="140">
        <v>72.584846337297762</v>
      </c>
      <c r="I26" s="140">
        <v>78.295198839049874</v>
      </c>
      <c r="J26" s="140">
        <v>85.274518563413523</v>
      </c>
      <c r="K26" s="140">
        <v>93.998668218868104</v>
      </c>
      <c r="L26" s="141"/>
    </row>
    <row r="27" spans="1:13" x14ac:dyDescent="0.25">
      <c r="E27" s="190"/>
      <c r="F27" s="137">
        <f>F26+0.5%</f>
        <v>9.5000000000000001E-2</v>
      </c>
      <c r="G27" s="140">
        <v>62.740752452301777</v>
      </c>
      <c r="H27" s="140">
        <v>66.694241318368071</v>
      </c>
      <c r="I27" s="140">
        <v>71.366546341900985</v>
      </c>
      <c r="J27" s="140">
        <v>76.973312370140476</v>
      </c>
      <c r="K27" s="140">
        <v>83.826026404655394</v>
      </c>
      <c r="L27" s="141"/>
    </row>
    <row r="28" spans="1:13" x14ac:dyDescent="0.25">
      <c r="E28" s="190"/>
      <c r="F28" s="137">
        <f t="shared" ref="F28:F30" si="2">F27+0.5%</f>
        <v>0.1</v>
      </c>
      <c r="G28" s="140">
        <v>58.377416723244743</v>
      </c>
      <c r="H28" s="140">
        <v>61.704927467909449</v>
      </c>
      <c r="I28" s="140">
        <v>65.587023336684965</v>
      </c>
      <c r="J28" s="140">
        <v>70.17495481796513</v>
      </c>
      <c r="K28" s="140">
        <v>75.6804725955013</v>
      </c>
      <c r="L28" s="141"/>
    </row>
    <row r="29" spans="1:13" x14ac:dyDescent="0.25">
      <c r="E29" s="190"/>
      <c r="F29" s="137">
        <f t="shared" si="2"/>
        <v>0.10500000000000001</v>
      </c>
      <c r="G29" s="140">
        <v>54.59190987733087</v>
      </c>
      <c r="H29" s="140">
        <v>57.423909481412942</v>
      </c>
      <c r="I29" s="140">
        <v>60.691601332276875</v>
      </c>
      <c r="J29" s="140">
        <v>64.503908491618134</v>
      </c>
      <c r="K29" s="140">
        <v>69.009362407203227</v>
      </c>
      <c r="L29" s="141"/>
    </row>
    <row r="30" spans="1:13" x14ac:dyDescent="0.25">
      <c r="E30" s="190"/>
      <c r="F30" s="137">
        <f t="shared" si="2"/>
        <v>0.11000000000000001</v>
      </c>
      <c r="G30" s="140">
        <v>51.276001402951152</v>
      </c>
      <c r="H30" s="140">
        <v>53.709653189206726</v>
      </c>
      <c r="I30" s="140">
        <v>56.490969516355989</v>
      </c>
      <c r="J30" s="140">
        <v>59.700180663066632</v>
      </c>
      <c r="K30" s="140">
        <v>63.444260334229085</v>
      </c>
      <c r="L30" s="141"/>
    </row>
    <row r="31" spans="1:13" x14ac:dyDescent="0.25">
      <c r="A31" s="191" t="s">
        <v>191</v>
      </c>
      <c r="B31" s="191"/>
      <c r="C31" s="191"/>
      <c r="D31" s="191"/>
      <c r="E31" s="191"/>
      <c r="F31" s="191"/>
      <c r="G31" s="191"/>
      <c r="H31" s="191"/>
      <c r="I31" s="191"/>
      <c r="J31" s="191"/>
      <c r="K31" s="191"/>
      <c r="L31" s="142"/>
    </row>
    <row r="32" spans="1:13" x14ac:dyDescent="0.25">
      <c r="A32" s="191"/>
      <c r="B32" s="191"/>
      <c r="C32" s="191"/>
      <c r="D32" s="191"/>
      <c r="E32" s="191"/>
      <c r="F32" s="191"/>
      <c r="G32" s="191"/>
      <c r="H32" s="191"/>
      <c r="I32" s="191"/>
      <c r="J32" s="191"/>
      <c r="K32" s="191"/>
      <c r="L32" s="142"/>
    </row>
  </sheetData>
  <mergeCells count="2">
    <mergeCell ref="E26:E30"/>
    <mergeCell ref="A31:K32"/>
  </mergeCells>
  <conditionalFormatting sqref="G26:L30">
    <cfRule type="cellIs" dxfId="1" priority="1" operator="between">
      <formula>63</formula>
      <formula>78</formula>
    </cfRule>
    <cfRule type="cellIs" dxfId="0" priority="2" operator="between">
      <formula>65</formula>
      <formula>76</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election activeCell="C5" sqref="C5"/>
    </sheetView>
  </sheetViews>
  <sheetFormatPr defaultRowHeight="15" x14ac:dyDescent="0.25"/>
  <cols>
    <col min="1" max="2" width="3" customWidth="1"/>
    <col min="3" max="3" width="35" customWidth="1"/>
  </cols>
  <sheetData>
    <row r="1" spans="1:10" ht="23.25" x14ac:dyDescent="0.35">
      <c r="D1" s="87"/>
      <c r="E1" t="s">
        <v>133</v>
      </c>
      <c r="F1" t="s">
        <v>134</v>
      </c>
      <c r="G1" t="s">
        <v>135</v>
      </c>
      <c r="H1" t="s">
        <v>136</v>
      </c>
      <c r="I1" t="s">
        <v>137</v>
      </c>
      <c r="J1" t="s">
        <v>148</v>
      </c>
    </row>
    <row r="2" spans="1:10" ht="18.75" x14ac:dyDescent="0.3">
      <c r="A2" s="88" t="s">
        <v>142</v>
      </c>
    </row>
    <row r="3" spans="1:10" x14ac:dyDescent="0.25">
      <c r="E3" s="14"/>
      <c r="F3" s="14"/>
    </row>
    <row r="4" spans="1:10" x14ac:dyDescent="0.25">
      <c r="B4" t="s">
        <v>106</v>
      </c>
      <c r="E4" s="14">
        <v>63652</v>
      </c>
      <c r="F4" s="14">
        <v>54954</v>
      </c>
      <c r="G4" s="14">
        <v>54954</v>
      </c>
      <c r="H4" s="14">
        <v>0</v>
      </c>
      <c r="I4" s="14">
        <v>0</v>
      </c>
      <c r="J4" s="14">
        <v>0</v>
      </c>
    </row>
    <row r="5" spans="1:10" x14ac:dyDescent="0.25">
      <c r="B5" t="s">
        <v>143</v>
      </c>
      <c r="E5" s="14">
        <v>7681</v>
      </c>
      <c r="F5" s="14">
        <v>13368</v>
      </c>
      <c r="G5" s="14">
        <v>13368</v>
      </c>
      <c r="H5" s="14">
        <v>10614</v>
      </c>
      <c r="I5" s="14">
        <v>10614</v>
      </c>
      <c r="J5">
        <v>580</v>
      </c>
    </row>
    <row r="6" spans="1:10" x14ac:dyDescent="0.25">
      <c r="B6" t="s">
        <v>144</v>
      </c>
      <c r="E6" s="14">
        <v>18526</v>
      </c>
      <c r="F6" s="14">
        <v>15596</v>
      </c>
      <c r="G6" s="14">
        <v>15596</v>
      </c>
      <c r="H6">
        <v>301</v>
      </c>
      <c r="I6">
        <v>301</v>
      </c>
      <c r="J6">
        <v>0</v>
      </c>
    </row>
    <row r="7" spans="1:10" x14ac:dyDescent="0.25">
      <c r="B7" t="s">
        <v>145</v>
      </c>
      <c r="E7" s="14">
        <v>3600</v>
      </c>
      <c r="F7" s="14">
        <v>3600</v>
      </c>
      <c r="G7" s="14">
        <v>3600</v>
      </c>
      <c r="H7">
        <v>0</v>
      </c>
      <c r="I7">
        <v>0</v>
      </c>
      <c r="J7">
        <v>0</v>
      </c>
    </row>
    <row r="8" spans="1:10" x14ac:dyDescent="0.25">
      <c r="B8" t="s">
        <v>146</v>
      </c>
      <c r="E8" s="14">
        <v>4365</v>
      </c>
      <c r="F8" s="14">
        <v>1896</v>
      </c>
      <c r="G8" s="14">
        <v>1896</v>
      </c>
      <c r="H8" s="14">
        <v>2469</v>
      </c>
      <c r="I8" s="14">
        <v>2469</v>
      </c>
      <c r="J8" s="14">
        <v>0</v>
      </c>
    </row>
    <row r="9" spans="1:10" x14ac:dyDescent="0.25">
      <c r="B9" s="35" t="s">
        <v>147</v>
      </c>
      <c r="E9" s="14">
        <v>3607</v>
      </c>
      <c r="F9" s="14">
        <v>3607</v>
      </c>
      <c r="G9" s="14">
        <v>3607</v>
      </c>
      <c r="H9" s="14">
        <v>0</v>
      </c>
      <c r="I9" s="14">
        <v>0</v>
      </c>
      <c r="J9" s="14">
        <v>0</v>
      </c>
    </row>
    <row r="10" spans="1:10" x14ac:dyDescent="0.25">
      <c r="C10" t="s">
        <v>122</v>
      </c>
      <c r="E10" s="14">
        <f>SUM(E4:E9)</f>
        <v>101431</v>
      </c>
      <c r="F10" s="14">
        <f t="shared" ref="F10" si="0">SUM(F4:F9)</f>
        <v>93021</v>
      </c>
      <c r="G10" s="14">
        <f t="shared" ref="G10" si="1">SUM(G4:G9)</f>
        <v>93021</v>
      </c>
      <c r="H10" s="14">
        <f>SUM(H4:H9)</f>
        <v>13384</v>
      </c>
      <c r="I10" s="14">
        <f>SUM(I4:I9)</f>
        <v>13384</v>
      </c>
      <c r="J10" s="14">
        <f>SUM(J4:J9)</f>
        <v>580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122"/>
  <sheetViews>
    <sheetView showGridLines="0" workbookViewId="0">
      <pane ySplit="11" topLeftCell="A113" activePane="bottomLeft" state="frozen"/>
      <selection pane="bottomLeft" activeCell="F116" sqref="F116"/>
    </sheetView>
  </sheetViews>
  <sheetFormatPr defaultRowHeight="15" x14ac:dyDescent="0.25"/>
  <cols>
    <col min="1" max="1" width="2.85546875" style="35" customWidth="1"/>
    <col min="2" max="2" width="3" style="35" customWidth="1"/>
    <col min="3" max="3" width="18.140625" style="35" customWidth="1"/>
    <col min="4" max="4" width="36.7109375" style="37" customWidth="1"/>
    <col min="5" max="5" width="10.5703125" style="35" bestFit="1" customWidth="1"/>
    <col min="6" max="6" width="9.140625" style="73"/>
    <col min="7" max="7" width="8.140625" style="35" bestFit="1" customWidth="1"/>
    <col min="8" max="12" width="9.140625" style="35"/>
    <col min="13" max="15" width="13.85546875" style="35" bestFit="1" customWidth="1"/>
    <col min="16" max="17" width="14.85546875" style="35" bestFit="1" customWidth="1"/>
    <col min="18" max="16384" width="9.140625" style="35"/>
  </cols>
  <sheetData>
    <row r="3" spans="1:18" x14ac:dyDescent="0.25">
      <c r="E3" s="35" t="s">
        <v>98</v>
      </c>
      <c r="F3" s="73" t="s">
        <v>94</v>
      </c>
      <c r="G3" s="35" t="s">
        <v>95</v>
      </c>
      <c r="H3" s="35" t="s">
        <v>96</v>
      </c>
      <c r="I3" s="79" t="s">
        <v>104</v>
      </c>
      <c r="J3" s="79" t="s">
        <v>105</v>
      </c>
      <c r="K3" s="79" t="s">
        <v>90</v>
      </c>
      <c r="L3" s="79" t="s">
        <v>91</v>
      </c>
    </row>
    <row r="4" spans="1:18" x14ac:dyDescent="0.25">
      <c r="A4" s="32" t="s">
        <v>92</v>
      </c>
      <c r="E4" s="33"/>
      <c r="F4" s="74"/>
      <c r="G4" s="75">
        <f>G5/F5-1</f>
        <v>-0.29838284954483218</v>
      </c>
      <c r="H4" s="75">
        <v>-0.35</v>
      </c>
      <c r="I4" s="75">
        <f t="shared" ref="I4:L4" si="0">I5/H5-1</f>
        <v>-0.35</v>
      </c>
      <c r="J4" s="75">
        <f t="shared" si="0"/>
        <v>-0.35</v>
      </c>
      <c r="K4" s="75">
        <f t="shared" si="0"/>
        <v>-0.35</v>
      </c>
      <c r="L4" s="75">
        <f t="shared" si="0"/>
        <v>-0.35</v>
      </c>
      <c r="M4" s="33"/>
    </row>
    <row r="5" spans="1:18" x14ac:dyDescent="0.25">
      <c r="B5" s="35" t="s">
        <v>93</v>
      </c>
      <c r="E5" s="33"/>
      <c r="F5" s="75">
        <f>F11/E11-1</f>
        <v>1.2456475892041428</v>
      </c>
      <c r="G5" s="75">
        <f>G11/F11-1</f>
        <v>0.87396771200876011</v>
      </c>
      <c r="H5" s="34">
        <f>G5*(1+G4)</f>
        <v>0.61319073568940907</v>
      </c>
      <c r="I5" s="34">
        <f>H5*(1+H4)</f>
        <v>0.39857397819811591</v>
      </c>
      <c r="J5" s="34">
        <f t="shared" ref="J5:L5" si="1">I5*(1+I4)</f>
        <v>0.25907308582877536</v>
      </c>
      <c r="K5" s="34">
        <f t="shared" si="1"/>
        <v>0.16839750578870399</v>
      </c>
      <c r="L5" s="34">
        <f t="shared" si="1"/>
        <v>0.1094583787626576</v>
      </c>
      <c r="M5" s="33"/>
    </row>
    <row r="6" spans="1:18" x14ac:dyDescent="0.25">
      <c r="B6" s="35" t="s">
        <v>97</v>
      </c>
      <c r="E6" s="34">
        <v>0.44</v>
      </c>
      <c r="F6" s="75">
        <v>0.42</v>
      </c>
      <c r="G6" s="34">
        <v>0.51</v>
      </c>
      <c r="I6" s="34"/>
      <c r="J6" s="34"/>
      <c r="K6" s="34"/>
      <c r="L6" s="34"/>
      <c r="N6" s="36"/>
    </row>
    <row r="7" spans="1:18" x14ac:dyDescent="0.25">
      <c r="B7" s="35" t="s">
        <v>99</v>
      </c>
      <c r="E7" s="34">
        <v>0.35</v>
      </c>
      <c r="F7" s="75">
        <v>0.47</v>
      </c>
      <c r="G7" s="34">
        <v>0.49</v>
      </c>
      <c r="I7" s="34"/>
      <c r="J7" s="34"/>
      <c r="K7" s="34"/>
      <c r="L7" s="34"/>
    </row>
    <row r="8" spans="1:18" x14ac:dyDescent="0.25">
      <c r="B8" s="35" t="s">
        <v>100</v>
      </c>
      <c r="E8" s="33">
        <v>234.2</v>
      </c>
      <c r="F8" s="75">
        <v>5.26</v>
      </c>
      <c r="G8" s="34">
        <v>9.8570000000000011</v>
      </c>
      <c r="H8" s="33">
        <v>235.7</v>
      </c>
      <c r="I8" s="33"/>
      <c r="J8" s="33"/>
      <c r="K8" s="33"/>
      <c r="L8" s="33"/>
    </row>
    <row r="9" spans="1:18" x14ac:dyDescent="0.25">
      <c r="B9" s="35" t="s">
        <v>101</v>
      </c>
      <c r="E9" s="47">
        <v>0.36599999999999999</v>
      </c>
      <c r="F9" s="82">
        <v>0.39400000000000002</v>
      </c>
      <c r="G9" s="47">
        <v>0.33700000000000002</v>
      </c>
      <c r="H9" s="33"/>
      <c r="I9" s="33"/>
      <c r="J9" s="33"/>
      <c r="K9" s="33"/>
      <c r="L9" s="33"/>
    </row>
    <row r="10" spans="1:18" x14ac:dyDescent="0.25">
      <c r="F10" s="35"/>
    </row>
    <row r="11" spans="1:18" x14ac:dyDescent="0.25">
      <c r="A11" s="35" t="s">
        <v>1</v>
      </c>
      <c r="E11" s="38">
        <v>234238</v>
      </c>
      <c r="F11" s="76">
        <v>526016</v>
      </c>
      <c r="G11" s="39">
        <v>985737</v>
      </c>
      <c r="H11" s="56">
        <f>G11*(1+H5)</f>
        <v>1590181.796226271</v>
      </c>
      <c r="I11" s="56">
        <f t="shared" ref="I11:L11" si="2">H11*(1+I5)</f>
        <v>2223986.8808064014</v>
      </c>
      <c r="J11" s="56">
        <f t="shared" si="2"/>
        <v>2800162.0248596286</v>
      </c>
      <c r="K11" s="56">
        <f t="shared" si="2"/>
        <v>3271702.325650237</v>
      </c>
      <c r="L11" s="56">
        <f t="shared" si="2"/>
        <v>3629817.5580099281</v>
      </c>
      <c r="M11" s="36"/>
      <c r="N11" s="36"/>
      <c r="O11" s="42"/>
      <c r="P11" s="42"/>
      <c r="Q11" s="42"/>
      <c r="R11" s="42"/>
    </row>
    <row r="12" spans="1:18" x14ac:dyDescent="0.25">
      <c r="A12" s="35" t="s">
        <v>2</v>
      </c>
      <c r="E12" s="39">
        <v>111683</v>
      </c>
      <c r="F12" s="77">
        <v>298530</v>
      </c>
      <c r="G12" s="39">
        <v>623953</v>
      </c>
      <c r="M12" s="41"/>
      <c r="N12" s="41"/>
      <c r="O12" s="42"/>
      <c r="P12" s="42"/>
      <c r="Q12" s="42"/>
      <c r="R12" s="42"/>
    </row>
    <row r="13" spans="1:18" x14ac:dyDescent="0.25">
      <c r="A13" s="35" t="s">
        <v>126</v>
      </c>
      <c r="E13" s="90">
        <f>'P&amp;L'!E5/'P&amp;L'!E4</f>
        <v>0.47679283463827388</v>
      </c>
      <c r="F13" s="90">
        <f>'P&amp;L'!F5/'P&amp;L'!F4</f>
        <v>0.56753026523908023</v>
      </c>
      <c r="G13" s="90">
        <f>'P&amp;L'!G5/'P&amp;L'!G4</f>
        <v>0.63298121101267379</v>
      </c>
      <c r="H13" s="90">
        <f>AVERAGE(E13,F13,G13)</f>
        <v>0.55910143696334258</v>
      </c>
      <c r="I13" s="90">
        <f t="shared" ref="I13:L13" si="3">AVERAGE(F13,G13,H13)</f>
        <v>0.58653763773836554</v>
      </c>
      <c r="J13" s="90">
        <f t="shared" si="3"/>
        <v>0.59287342857146064</v>
      </c>
      <c r="K13" s="90">
        <f t="shared" si="3"/>
        <v>0.57950416775772284</v>
      </c>
      <c r="L13" s="90">
        <f t="shared" si="3"/>
        <v>0.5863050780225163</v>
      </c>
      <c r="M13" s="41"/>
      <c r="N13" s="41"/>
      <c r="O13" s="42"/>
      <c r="P13" s="42"/>
      <c r="Q13" s="42"/>
      <c r="R13" s="42"/>
    </row>
    <row r="14" spans="1:18" x14ac:dyDescent="0.25">
      <c r="B14" s="32" t="s">
        <v>3</v>
      </c>
      <c r="E14" s="39">
        <f>E11-E12</f>
        <v>122555</v>
      </c>
      <c r="F14" s="77">
        <f t="shared" ref="F14:G14" si="4">F11-F12</f>
        <v>227486</v>
      </c>
      <c r="G14" s="39">
        <f t="shared" si="4"/>
        <v>361784</v>
      </c>
      <c r="H14" s="39"/>
      <c r="I14" s="39"/>
      <c r="J14" s="39"/>
      <c r="K14" s="39"/>
      <c r="L14" s="39"/>
      <c r="M14" s="41"/>
      <c r="N14" s="41"/>
      <c r="O14" s="42"/>
      <c r="P14" s="42"/>
      <c r="Q14" s="42"/>
      <c r="R14" s="42"/>
    </row>
    <row r="15" spans="1:18" x14ac:dyDescent="0.25">
      <c r="A15" s="32" t="s">
        <v>4</v>
      </c>
      <c r="E15" s="95"/>
      <c r="F15" s="96"/>
      <c r="G15" s="95"/>
      <c r="H15" s="97"/>
      <c r="I15" s="97"/>
      <c r="J15" s="97"/>
      <c r="K15" s="97"/>
      <c r="L15" s="97"/>
      <c r="M15" s="36"/>
      <c r="N15" s="36"/>
    </row>
    <row r="16" spans="1:18" x14ac:dyDescent="0.25">
      <c r="A16" s="35" t="s">
        <v>5</v>
      </c>
      <c r="E16" s="38">
        <v>8644</v>
      </c>
      <c r="F16" s="76">
        <v>36115</v>
      </c>
      <c r="G16" s="39">
        <v>73737</v>
      </c>
      <c r="M16" s="41"/>
      <c r="N16" s="41"/>
      <c r="O16" s="42"/>
      <c r="P16" s="42"/>
      <c r="Q16" s="42"/>
    </row>
    <row r="17" spans="1:17" x14ac:dyDescent="0.25">
      <c r="B17" s="35" t="s">
        <v>128</v>
      </c>
      <c r="E17" s="94">
        <f>E16/E11</f>
        <v>3.690263748836653E-2</v>
      </c>
      <c r="F17" s="94">
        <f t="shared" ref="F17:G17" si="5">F16/F11</f>
        <v>6.8657607373159749E-2</v>
      </c>
      <c r="G17" s="94">
        <f t="shared" si="5"/>
        <v>7.4803928431214417E-2</v>
      </c>
      <c r="H17" s="94">
        <v>0.1</v>
      </c>
      <c r="I17" s="94">
        <v>0.12</v>
      </c>
      <c r="J17" s="94">
        <v>0.12</v>
      </c>
      <c r="K17" s="94">
        <v>0.12</v>
      </c>
      <c r="L17" s="94">
        <v>0.12</v>
      </c>
      <c r="M17" s="41"/>
      <c r="N17" s="41"/>
      <c r="O17" s="42"/>
      <c r="P17" s="42"/>
      <c r="Q17" s="42"/>
    </row>
    <row r="18" spans="1:17" x14ac:dyDescent="0.25">
      <c r="A18" s="35" t="s">
        <v>6</v>
      </c>
      <c r="E18" s="39">
        <v>64375</v>
      </c>
      <c r="F18" s="76">
        <v>116855</v>
      </c>
      <c r="G18" s="39">
        <v>157771</v>
      </c>
      <c r="H18" s="39"/>
      <c r="I18" s="39"/>
      <c r="J18" s="39"/>
      <c r="K18" s="39"/>
      <c r="L18" s="39"/>
      <c r="M18" s="41"/>
      <c r="N18" s="41"/>
      <c r="O18" s="42"/>
      <c r="P18" s="42"/>
      <c r="Q18" s="42"/>
    </row>
    <row r="19" spans="1:17" x14ac:dyDescent="0.25">
      <c r="B19" s="35" t="s">
        <v>128</v>
      </c>
      <c r="E19" s="90">
        <f>E18/E11</f>
        <v>0.27482731239167002</v>
      </c>
      <c r="F19" s="90">
        <f t="shared" ref="F19:G19" si="6">F18/F11</f>
        <v>0.22215103723080667</v>
      </c>
      <c r="G19" s="90">
        <f t="shared" si="6"/>
        <v>0.16005384803451631</v>
      </c>
      <c r="H19" s="90">
        <f>AVERAGE(E19,F19,G19)</f>
        <v>0.21901073255233097</v>
      </c>
      <c r="I19" s="90">
        <f t="shared" ref="I19:L19" si="7">AVERAGE(F19,G19,H19)</f>
        <v>0.20040520593921798</v>
      </c>
      <c r="J19" s="90">
        <f t="shared" si="7"/>
        <v>0.19315659550868844</v>
      </c>
      <c r="K19" s="90">
        <f t="shared" si="7"/>
        <v>0.20419084466674578</v>
      </c>
      <c r="L19" s="90">
        <f t="shared" si="7"/>
        <v>0.19925088203821739</v>
      </c>
      <c r="M19" s="41"/>
      <c r="N19" s="41"/>
      <c r="O19" s="42"/>
      <c r="P19" s="42"/>
      <c r="Q19" s="42"/>
    </row>
    <row r="20" spans="1:17" x14ac:dyDescent="0.25">
      <c r="A20" s="35" t="s">
        <v>7</v>
      </c>
      <c r="E20" s="38">
        <v>10757</v>
      </c>
      <c r="F20" s="77">
        <v>20899</v>
      </c>
      <c r="G20" s="38">
        <v>31573</v>
      </c>
      <c r="H20" s="94"/>
      <c r="I20" s="94"/>
      <c r="J20" s="94"/>
      <c r="K20" s="94"/>
      <c r="L20" s="94"/>
      <c r="M20" s="41"/>
      <c r="N20" s="41"/>
      <c r="O20" s="42"/>
      <c r="P20" s="42"/>
      <c r="Q20" s="42"/>
    </row>
    <row r="21" spans="1:17" x14ac:dyDescent="0.25">
      <c r="B21" s="35" t="s">
        <v>128</v>
      </c>
      <c r="E21" s="94">
        <f>E20/E11</f>
        <v>4.5923377078014666E-2</v>
      </c>
      <c r="F21" s="94">
        <f t="shared" ref="F21:G21" si="8">F20/F11</f>
        <v>3.9730730624163525E-2</v>
      </c>
      <c r="G21" s="94">
        <f t="shared" si="8"/>
        <v>3.20298416311856E-2</v>
      </c>
      <c r="H21" s="94">
        <v>0.03</v>
      </c>
      <c r="I21" s="94">
        <v>0.03</v>
      </c>
      <c r="J21" s="94">
        <v>0.03</v>
      </c>
      <c r="K21" s="94">
        <v>0.03</v>
      </c>
      <c r="L21" s="94">
        <v>0.03</v>
      </c>
      <c r="M21" s="41"/>
      <c r="N21" s="41"/>
      <c r="O21" s="42"/>
      <c r="P21" s="42"/>
      <c r="Q21" s="42"/>
    </row>
    <row r="22" spans="1:17" x14ac:dyDescent="0.25">
      <c r="B22" s="32" t="s">
        <v>8</v>
      </c>
      <c r="E22" s="39">
        <f>SUM(E16:E20)</f>
        <v>83776.31172994987</v>
      </c>
      <c r="F22" s="77">
        <f>SUM(F16:F20)</f>
        <v>173869.29080864458</v>
      </c>
      <c r="G22" s="39">
        <f>SUM(G16:G20)</f>
        <v>263081.23485777644</v>
      </c>
      <c r="H22" s="39"/>
      <c r="I22" s="39"/>
      <c r="J22" s="39"/>
      <c r="K22" s="39"/>
      <c r="L22" s="39"/>
      <c r="M22" s="41"/>
      <c r="N22" s="41"/>
      <c r="O22" s="42"/>
      <c r="P22" s="42"/>
      <c r="Q22" s="42"/>
    </row>
    <row r="23" spans="1:17" x14ac:dyDescent="0.25">
      <c r="B23" s="32" t="s">
        <v>140</v>
      </c>
      <c r="E23" s="39">
        <f>E22+E12</f>
        <v>195459.31172994987</v>
      </c>
      <c r="F23" s="39">
        <f t="shared" ref="F23:G23" si="9">F22+F12</f>
        <v>472399.29080864461</v>
      </c>
      <c r="G23" s="39">
        <f t="shared" si="9"/>
        <v>887034.23485777644</v>
      </c>
      <c r="H23" s="39"/>
      <c r="I23" s="39"/>
      <c r="J23" s="39"/>
      <c r="K23" s="39"/>
      <c r="L23" s="39"/>
      <c r="M23" s="41"/>
      <c r="N23" s="41"/>
      <c r="O23" s="42"/>
      <c r="P23" s="42"/>
      <c r="Q23" s="42"/>
    </row>
    <row r="24" spans="1:17" x14ac:dyDescent="0.25">
      <c r="A24" s="35" t="s">
        <v>9</v>
      </c>
      <c r="E24" s="39">
        <f>E14-E22</f>
        <v>38778.68827005013</v>
      </c>
      <c r="F24" s="77">
        <f>F14-F22</f>
        <v>53616.709191355418</v>
      </c>
      <c r="G24" s="39">
        <f>G14-G22</f>
        <v>98702.765142223565</v>
      </c>
      <c r="H24" s="39"/>
      <c r="I24" s="39"/>
      <c r="J24" s="39"/>
      <c r="K24" s="39"/>
      <c r="L24" s="39"/>
      <c r="M24" s="41"/>
      <c r="N24" s="41"/>
      <c r="O24" s="42"/>
      <c r="P24" s="42"/>
      <c r="Q24" s="42"/>
    </row>
    <row r="25" spans="1:17" x14ac:dyDescent="0.25">
      <c r="B25" s="35" t="s">
        <v>128</v>
      </c>
      <c r="E25" s="90">
        <f>E24/E11</f>
        <v>0.16555250757797679</v>
      </c>
      <c r="F25" s="90">
        <f t="shared" ref="F25:G25" si="10">F24/F11</f>
        <v>0.10192980668146105</v>
      </c>
      <c r="G25" s="90">
        <f t="shared" si="10"/>
        <v>0.10013093263438784</v>
      </c>
      <c r="H25" s="90">
        <v>0.1</v>
      </c>
      <c r="I25" s="90">
        <v>0.1</v>
      </c>
      <c r="J25" s="90">
        <v>0.1</v>
      </c>
      <c r="K25" s="90">
        <v>0.1</v>
      </c>
      <c r="L25" s="90">
        <v>0.1</v>
      </c>
      <c r="M25" s="41"/>
      <c r="N25" s="41"/>
      <c r="O25" s="42"/>
      <c r="P25" s="42"/>
      <c r="Q25" s="42"/>
    </row>
    <row r="26" spans="1:17" x14ac:dyDescent="0.25">
      <c r="A26" s="35" t="s">
        <v>10</v>
      </c>
      <c r="E26" s="12">
        <v>12</v>
      </c>
      <c r="F26" s="79">
        <v>407</v>
      </c>
      <c r="G26" s="12">
        <v>7374</v>
      </c>
      <c r="H26" s="12"/>
      <c r="I26" s="12"/>
      <c r="J26" s="12"/>
      <c r="K26" s="12"/>
      <c r="L26" s="12"/>
      <c r="M26" s="41"/>
      <c r="N26" s="41"/>
      <c r="O26" s="42"/>
      <c r="P26" s="42"/>
      <c r="Q26" s="42"/>
    </row>
    <row r="27" spans="1:17" x14ac:dyDescent="0.25">
      <c r="B27" s="35" t="s">
        <v>128</v>
      </c>
      <c r="E27" s="98">
        <f>E26/E11</f>
        <v>5.1229945610874407E-5</v>
      </c>
      <c r="F27" s="98">
        <f t="shared" ref="F27:G27" si="11">F26/F11</f>
        <v>7.7374072271565889E-4</v>
      </c>
      <c r="G27" s="98">
        <f t="shared" si="11"/>
        <v>7.4806971839344568E-3</v>
      </c>
      <c r="H27" s="98">
        <v>-0.01</v>
      </c>
      <c r="I27" s="98">
        <v>-0.01</v>
      </c>
      <c r="J27" s="98">
        <v>-0.01</v>
      </c>
      <c r="K27" s="98">
        <v>-0.01</v>
      </c>
      <c r="L27" s="98">
        <v>-0.01</v>
      </c>
      <c r="M27" s="41"/>
      <c r="N27" s="41"/>
      <c r="O27" s="42"/>
      <c r="P27" s="42"/>
      <c r="Q27" s="42"/>
    </row>
    <row r="28" spans="1:17" x14ac:dyDescent="0.25">
      <c r="B28" s="32" t="s">
        <v>11</v>
      </c>
      <c r="E28" s="40">
        <f>E24+E26</f>
        <v>38790.68827005013</v>
      </c>
      <c r="F28" s="78">
        <f>F24-F26</f>
        <v>53209.709191355418</v>
      </c>
      <c r="G28" s="40">
        <f t="shared" ref="G28" si="12">G24-G26</f>
        <v>91328.765142223565</v>
      </c>
      <c r="H28" s="40"/>
      <c r="I28" s="40"/>
      <c r="J28" s="40"/>
      <c r="K28" s="40"/>
      <c r="L28" s="40"/>
      <c r="M28" s="41"/>
      <c r="N28" s="41"/>
      <c r="O28" s="42"/>
      <c r="P28" s="42"/>
      <c r="Q28" s="42"/>
    </row>
    <row r="29" spans="1:17" x14ac:dyDescent="0.25">
      <c r="A29" s="35" t="s">
        <v>12</v>
      </c>
      <c r="E29" s="12">
        <v>14179</v>
      </c>
      <c r="F29" s="79">
        <v>20948</v>
      </c>
      <c r="G29" s="12">
        <v>30751</v>
      </c>
      <c r="H29" s="12"/>
      <c r="I29" s="12"/>
      <c r="J29" s="12"/>
      <c r="K29" s="12"/>
      <c r="L29" s="12"/>
      <c r="M29" s="41"/>
      <c r="N29" s="41"/>
      <c r="O29" s="42"/>
      <c r="P29" s="42"/>
      <c r="Q29" s="42"/>
    </row>
    <row r="30" spans="1:17" x14ac:dyDescent="0.25">
      <c r="E30" s="90">
        <f>E29/E28</f>
        <v>0.36552586799413539</v>
      </c>
      <c r="F30" s="90">
        <f t="shared" ref="F30:G30" si="13">F29/F28</f>
        <v>0.39368754910247217</v>
      </c>
      <c r="G30" s="90">
        <f t="shared" si="13"/>
        <v>0.33670662197296092</v>
      </c>
      <c r="H30" s="90">
        <f>AVERAGE(E30,F30,G30)</f>
        <v>0.36530667968985614</v>
      </c>
      <c r="I30" s="90">
        <v>0.39</v>
      </c>
      <c r="J30" s="90">
        <v>0.39</v>
      </c>
      <c r="K30" s="90">
        <v>0.39</v>
      </c>
      <c r="L30" s="90">
        <v>0.39</v>
      </c>
      <c r="M30" s="41"/>
      <c r="N30" s="41"/>
      <c r="O30" s="42"/>
      <c r="P30" s="42"/>
      <c r="Q30" s="42"/>
    </row>
    <row r="31" spans="1:17" s="32" customFormat="1" x14ac:dyDescent="0.25">
      <c r="B31" s="32" t="s">
        <v>13</v>
      </c>
      <c r="D31" s="43"/>
      <c r="E31" s="40">
        <f>E28-E29</f>
        <v>24611.68827005013</v>
      </c>
      <c r="F31" s="78">
        <f t="shared" ref="F31:G31" si="14">F28-F29</f>
        <v>32261.709191355418</v>
      </c>
      <c r="G31" s="40">
        <f t="shared" si="14"/>
        <v>60577.765142223565</v>
      </c>
      <c r="H31" s="40"/>
      <c r="I31" s="40"/>
      <c r="J31" s="40"/>
      <c r="K31" s="40"/>
      <c r="L31" s="40"/>
      <c r="M31" s="44"/>
      <c r="N31" s="44"/>
      <c r="O31" s="45"/>
      <c r="P31" s="45"/>
      <c r="Q31" s="45"/>
    </row>
    <row r="32" spans="1:17" x14ac:dyDescent="0.25">
      <c r="M32" s="36"/>
      <c r="N32" s="36"/>
    </row>
    <row r="33" spans="1:16" x14ac:dyDescent="0.25">
      <c r="D33" s="43"/>
      <c r="E33" s="32"/>
      <c r="F33" s="80"/>
      <c r="G33" s="32"/>
      <c r="H33" s="32"/>
      <c r="I33" s="32"/>
      <c r="J33" s="32"/>
      <c r="K33" s="32"/>
      <c r="L33" s="32"/>
      <c r="M33" s="32"/>
      <c r="N33" s="32"/>
      <c r="O33" s="32"/>
      <c r="P33" s="32"/>
    </row>
    <row r="34" spans="1:16" x14ac:dyDescent="0.25">
      <c r="D34" s="43"/>
      <c r="F34" s="35"/>
    </row>
    <row r="41" spans="1:16" ht="21" x14ac:dyDescent="0.35">
      <c r="E41" s="41"/>
      <c r="F41" s="81"/>
      <c r="G41" s="41"/>
      <c r="H41" s="89" t="s">
        <v>102</v>
      </c>
    </row>
    <row r="42" spans="1:16" x14ac:dyDescent="0.25">
      <c r="F42" s="35"/>
    </row>
    <row r="45" spans="1:16" x14ac:dyDescent="0.25">
      <c r="B45" s="32"/>
      <c r="C45" s="32"/>
      <c r="D45" s="43"/>
    </row>
    <row r="46" spans="1:16" x14ac:dyDescent="0.25">
      <c r="A46" s="32"/>
      <c r="B46" s="32" t="s">
        <v>103</v>
      </c>
      <c r="C46" s="32"/>
      <c r="D46" s="43"/>
    </row>
    <row r="47" spans="1:16" x14ac:dyDescent="0.25">
      <c r="I47" s="41"/>
      <c r="J47" s="41"/>
      <c r="K47" s="41"/>
      <c r="L47" s="41"/>
    </row>
    <row r="48" spans="1:16" x14ac:dyDescent="0.25">
      <c r="A48" s="69" t="s">
        <v>37</v>
      </c>
      <c r="B48" s="70"/>
      <c r="C48" s="70"/>
      <c r="D48" s="71"/>
      <c r="E48" s="70"/>
      <c r="F48" s="85"/>
    </row>
    <row r="49" spans="1:12" x14ac:dyDescent="0.25">
      <c r="A49" s="70"/>
      <c r="B49" s="70" t="s">
        <v>38</v>
      </c>
      <c r="C49" s="70"/>
      <c r="D49" s="71"/>
      <c r="E49" s="72">
        <v>36485</v>
      </c>
      <c r="F49" s="86">
        <v>101410</v>
      </c>
    </row>
    <row r="50" spans="1:12" x14ac:dyDescent="0.25">
      <c r="A50" s="70"/>
      <c r="B50" s="70" t="s">
        <v>39</v>
      </c>
      <c r="C50" s="70"/>
      <c r="D50" s="71"/>
      <c r="E50" s="70">
        <v>80197</v>
      </c>
      <c r="F50" s="85">
        <v>122669</v>
      </c>
    </row>
    <row r="51" spans="1:12" x14ac:dyDescent="0.25">
      <c r="A51" s="70"/>
      <c r="B51" s="70" t="s">
        <v>128</v>
      </c>
      <c r="C51" s="70"/>
      <c r="D51" s="71"/>
      <c r="E51" s="99">
        <f>E50/E11</f>
        <v>0.34237399567960791</v>
      </c>
      <c r="F51" s="99">
        <f>F50/F11</f>
        <v>0.23320393296021413</v>
      </c>
      <c r="G51" s="100">
        <v>0.25</v>
      </c>
      <c r="H51" s="100">
        <v>0.25</v>
      </c>
      <c r="I51" s="100">
        <v>0.25</v>
      </c>
      <c r="J51" s="100">
        <v>0.25</v>
      </c>
      <c r="K51" s="100">
        <v>0.25</v>
      </c>
      <c r="L51" s="100">
        <v>0.25</v>
      </c>
    </row>
    <row r="52" spans="1:12" x14ac:dyDescent="0.25">
      <c r="A52" s="70"/>
      <c r="B52" s="70" t="s">
        <v>40</v>
      </c>
      <c r="C52" s="70"/>
      <c r="D52" s="71"/>
      <c r="E52" s="70">
        <v>60412</v>
      </c>
      <c r="F52" s="85">
        <v>111994</v>
      </c>
    </row>
    <row r="53" spans="1:12" x14ac:dyDescent="0.25">
      <c r="A53" s="70"/>
      <c r="B53" s="70" t="s">
        <v>128</v>
      </c>
      <c r="C53" s="70"/>
      <c r="D53" s="71"/>
      <c r="E53" s="99">
        <f>E52/E11</f>
        <v>0.25790862285367872</v>
      </c>
      <c r="F53" s="99">
        <f>F52/F11</f>
        <v>0.21290987346392506</v>
      </c>
      <c r="G53" s="99">
        <f>AVERAGE(E53,F53)</f>
        <v>0.23540924815880188</v>
      </c>
      <c r="H53" s="99">
        <v>0.24</v>
      </c>
      <c r="I53" s="99">
        <v>0.24</v>
      </c>
      <c r="J53" s="99">
        <v>0.24</v>
      </c>
      <c r="K53" s="99">
        <v>0.24</v>
      </c>
      <c r="L53" s="99">
        <v>0.24</v>
      </c>
    </row>
    <row r="54" spans="1:12" x14ac:dyDescent="0.25">
      <c r="A54" s="70"/>
      <c r="B54" s="70" t="s">
        <v>41</v>
      </c>
      <c r="C54" s="70"/>
      <c r="D54" s="71"/>
      <c r="E54" s="70">
        <v>21724</v>
      </c>
      <c r="F54" s="85">
        <v>21967</v>
      </c>
      <c r="G54" s="35">
        <v>22000</v>
      </c>
      <c r="H54" s="35">
        <v>23000</v>
      </c>
      <c r="I54" s="35">
        <v>23000</v>
      </c>
      <c r="J54" s="35">
        <v>23000</v>
      </c>
      <c r="K54" s="35">
        <v>23000</v>
      </c>
      <c r="L54" s="35">
        <v>23000</v>
      </c>
    </row>
    <row r="55" spans="1:12" x14ac:dyDescent="0.25">
      <c r="A55" s="70"/>
      <c r="B55" s="70" t="s">
        <v>128</v>
      </c>
      <c r="C55" s="70"/>
      <c r="D55" s="71"/>
      <c r="E55" s="99">
        <f>E54/E11</f>
        <v>9.274327820421964E-2</v>
      </c>
      <c r="F55" s="99">
        <f>F54/F11</f>
        <v>4.1761087115220828E-2</v>
      </c>
      <c r="G55" s="99" t="s">
        <v>130</v>
      </c>
      <c r="H55" s="99"/>
      <c r="I55" s="99"/>
      <c r="J55" s="99"/>
      <c r="K55" s="99"/>
      <c r="L55" s="99"/>
    </row>
    <row r="56" spans="1:12" x14ac:dyDescent="0.25">
      <c r="A56" s="70"/>
      <c r="B56" s="70"/>
      <c r="C56" s="69" t="s">
        <v>42</v>
      </c>
      <c r="D56" s="71"/>
      <c r="E56" s="70">
        <f>SUM(E49:E54)</f>
        <v>198818.60028261854</v>
      </c>
      <c r="F56" s="85">
        <f>SUM(F49:F54)</f>
        <v>358040.44611380645</v>
      </c>
    </row>
    <row r="58" spans="1:12" x14ac:dyDescent="0.25">
      <c r="A58" s="69" t="s">
        <v>49</v>
      </c>
      <c r="B58" s="70"/>
      <c r="C58" s="70"/>
      <c r="D58" s="71"/>
      <c r="E58" s="70"/>
      <c r="F58" s="85"/>
    </row>
    <row r="59" spans="1:12" x14ac:dyDescent="0.25">
      <c r="A59" s="70"/>
      <c r="B59" s="70" t="s">
        <v>50</v>
      </c>
      <c r="C59" s="70"/>
      <c r="D59" s="71"/>
      <c r="E59" s="72">
        <v>53746</v>
      </c>
      <c r="F59" s="86">
        <v>126423</v>
      </c>
    </row>
    <row r="60" spans="1:12" x14ac:dyDescent="0.25">
      <c r="A60" s="70"/>
      <c r="B60" s="70" t="s">
        <v>128</v>
      </c>
      <c r="C60" s="70"/>
      <c r="D60" s="71"/>
      <c r="E60" s="101">
        <f>E59/E11</f>
        <v>0.22945038806683801</v>
      </c>
      <c r="F60" s="101">
        <f>F59/F11</f>
        <v>0.24034059800462343</v>
      </c>
      <c r="G60" s="100">
        <v>0.25</v>
      </c>
      <c r="H60" s="100">
        <v>0.25</v>
      </c>
      <c r="I60" s="100">
        <v>0.25</v>
      </c>
      <c r="J60" s="100">
        <v>0.25</v>
      </c>
      <c r="K60" s="100">
        <v>0.25</v>
      </c>
      <c r="L60" s="100">
        <v>0.25</v>
      </c>
    </row>
    <row r="61" spans="1:12" x14ac:dyDescent="0.25">
      <c r="A61" s="70"/>
      <c r="B61" s="72" t="s">
        <v>51</v>
      </c>
      <c r="C61" s="70"/>
      <c r="D61" s="71"/>
      <c r="E61" s="72">
        <v>48714</v>
      </c>
      <c r="F61" s="86">
        <v>86391</v>
      </c>
    </row>
    <row r="62" spans="1:12" x14ac:dyDescent="0.25">
      <c r="A62" s="70"/>
      <c r="B62" s="70" t="s">
        <v>128</v>
      </c>
      <c r="C62" s="70"/>
      <c r="D62" s="71"/>
      <c r="E62" s="101">
        <f>E61/E11</f>
        <v>0.20796796420734467</v>
      </c>
      <c r="F62" s="101">
        <f>F61/F11</f>
        <v>0.16423644908139676</v>
      </c>
      <c r="G62" s="100">
        <v>0.15</v>
      </c>
      <c r="H62" s="100">
        <v>0.15</v>
      </c>
      <c r="I62" s="100">
        <v>0.15</v>
      </c>
      <c r="J62" s="100">
        <v>0.15</v>
      </c>
      <c r="K62" s="100">
        <v>0.15</v>
      </c>
      <c r="L62" s="100">
        <v>0.15</v>
      </c>
    </row>
    <row r="63" spans="1:12" x14ac:dyDescent="0.25">
      <c r="A63" s="70"/>
      <c r="B63" s="72" t="s">
        <v>52</v>
      </c>
      <c r="C63" s="70"/>
      <c r="D63" s="71"/>
      <c r="E63" s="72">
        <v>7380</v>
      </c>
      <c r="F63" s="86">
        <v>7781</v>
      </c>
      <c r="G63" s="35">
        <v>8000</v>
      </c>
      <c r="H63" s="35">
        <v>8000</v>
      </c>
      <c r="I63" s="35">
        <v>8000</v>
      </c>
      <c r="J63" s="35">
        <v>8000</v>
      </c>
      <c r="K63" s="35">
        <v>8000</v>
      </c>
      <c r="L63" s="35">
        <v>8000</v>
      </c>
    </row>
    <row r="64" spans="1:12" x14ac:dyDescent="0.25">
      <c r="A64" s="70"/>
      <c r="B64" s="70" t="s">
        <v>128</v>
      </c>
      <c r="C64" s="70"/>
      <c r="D64" s="71"/>
      <c r="E64" s="101">
        <f>E63/E11</f>
        <v>3.1506416550687762E-2</v>
      </c>
      <c r="F64" s="101">
        <f>F63/F11</f>
        <v>1.4792325708723689E-2</v>
      </c>
      <c r="G64" s="35" t="s">
        <v>129</v>
      </c>
    </row>
    <row r="65" spans="1:13" x14ac:dyDescent="0.25">
      <c r="A65" s="70"/>
      <c r="B65" s="72" t="s">
        <v>53</v>
      </c>
      <c r="C65" s="70"/>
      <c r="D65" s="71"/>
      <c r="E65" s="72">
        <v>3578</v>
      </c>
      <c r="F65" s="86">
        <v>19702</v>
      </c>
    </row>
    <row r="66" spans="1:13" x14ac:dyDescent="0.25">
      <c r="A66" s="70"/>
      <c r="B66" s="70" t="s">
        <v>128</v>
      </c>
      <c r="C66" s="70"/>
      <c r="D66" s="71"/>
      <c r="E66" s="101">
        <f>E65/E11</f>
        <v>1.5275062116309053E-2</v>
      </c>
      <c r="F66" s="101">
        <f>F65/F11</f>
        <v>3.7455134444579631E-2</v>
      </c>
      <c r="G66" s="100">
        <v>0.05</v>
      </c>
      <c r="H66" s="100">
        <v>0.05</v>
      </c>
      <c r="I66" s="100">
        <v>0.05</v>
      </c>
      <c r="J66" s="100">
        <v>0.05</v>
      </c>
      <c r="K66" s="100">
        <v>0.05</v>
      </c>
      <c r="L66" s="100">
        <v>0.05</v>
      </c>
    </row>
    <row r="67" spans="1:13" x14ac:dyDescent="0.25">
      <c r="A67" s="70"/>
      <c r="B67" s="72" t="s">
        <v>54</v>
      </c>
      <c r="C67" s="70"/>
      <c r="D67" s="71"/>
      <c r="E67" s="72">
        <v>15782</v>
      </c>
      <c r="F67" s="86">
        <v>60297</v>
      </c>
    </row>
    <row r="68" spans="1:13" x14ac:dyDescent="0.25">
      <c r="A68" s="70"/>
      <c r="B68" s="70" t="s">
        <v>128</v>
      </c>
      <c r="C68" s="70"/>
      <c r="D68" s="71"/>
      <c r="E68" s="101">
        <f>E67/E11</f>
        <v>6.7375916802568325E-2</v>
      </c>
      <c r="F68" s="101">
        <f>F67/F11</f>
        <v>0.11462959301618202</v>
      </c>
      <c r="G68" s="100">
        <v>0.12</v>
      </c>
      <c r="H68" s="100">
        <v>0.12</v>
      </c>
      <c r="I68" s="100">
        <v>0.12</v>
      </c>
      <c r="J68" s="100">
        <v>0.12</v>
      </c>
      <c r="K68" s="100">
        <v>0.12</v>
      </c>
      <c r="L68" s="100">
        <v>0.12</v>
      </c>
    </row>
    <row r="69" spans="1:13" x14ac:dyDescent="0.25">
      <c r="A69" s="70"/>
      <c r="B69" s="70"/>
      <c r="C69" s="69" t="s">
        <v>55</v>
      </c>
      <c r="D69" s="71"/>
      <c r="E69" s="70">
        <f>SUM(E59:E67)</f>
        <v>129200.48419983094</v>
      </c>
      <c r="F69" s="85">
        <f>SUM(F59:F67)</f>
        <v>300594.45682450722</v>
      </c>
    </row>
    <row r="70" spans="1:13" x14ac:dyDescent="0.25">
      <c r="A70" s="70"/>
      <c r="B70" s="70"/>
      <c r="C70" s="70"/>
      <c r="D70" s="71"/>
      <c r="E70" s="70"/>
      <c r="F70" s="85"/>
    </row>
    <row r="71" spans="1:13" x14ac:dyDescent="0.25">
      <c r="A71" s="69"/>
      <c r="B71" s="70"/>
      <c r="C71" s="70"/>
      <c r="D71" s="71"/>
      <c r="E71" s="70"/>
      <c r="F71" s="85"/>
    </row>
    <row r="72" spans="1:13" x14ac:dyDescent="0.25">
      <c r="A72" s="70"/>
      <c r="F72" s="35"/>
    </row>
    <row r="73" spans="1:13" x14ac:dyDescent="0.25">
      <c r="A73" s="70"/>
      <c r="F73" s="35"/>
    </row>
    <row r="74" spans="1:13" x14ac:dyDescent="0.25">
      <c r="F74" s="35"/>
    </row>
    <row r="75" spans="1:13" x14ac:dyDescent="0.25">
      <c r="A75" s="70"/>
      <c r="F75" s="35"/>
    </row>
    <row r="76" spans="1:13" x14ac:dyDescent="0.25">
      <c r="A76" s="70"/>
      <c r="B76" s="70"/>
      <c r="C76" s="69"/>
      <c r="D76" s="71"/>
      <c r="E76" s="70"/>
      <c r="F76" s="85"/>
    </row>
    <row r="77" spans="1:13" x14ac:dyDescent="0.25">
      <c r="A77" s="70"/>
      <c r="B77" s="6"/>
      <c r="C77" s="6"/>
      <c r="D77" s="7"/>
      <c r="E77" s="6"/>
      <c r="F77" s="83"/>
    </row>
    <row r="78" spans="1:13" x14ac:dyDescent="0.25">
      <c r="A78" s="6"/>
    </row>
    <row r="80" spans="1:13" x14ac:dyDescent="0.25">
      <c r="A80" s="32"/>
      <c r="B80" s="6"/>
      <c r="C80" s="6"/>
      <c r="D80" s="7"/>
      <c r="E80" s="6"/>
      <c r="F80" s="83"/>
      <c r="G80" s="6"/>
      <c r="H80" s="6"/>
      <c r="I80" s="6"/>
      <c r="J80" s="6"/>
      <c r="K80" s="6"/>
      <c r="L80" s="6"/>
      <c r="M80" s="6"/>
    </row>
    <row r="81" spans="1:14" x14ac:dyDescent="0.25">
      <c r="A81" s="5"/>
      <c r="B81" s="6"/>
      <c r="C81" s="6"/>
      <c r="D81" s="7"/>
      <c r="E81" s="6"/>
      <c r="F81" s="6"/>
      <c r="G81" s="6"/>
    </row>
    <row r="82" spans="1:14" x14ac:dyDescent="0.25">
      <c r="A82" s="6"/>
      <c r="B82" s="6"/>
      <c r="C82" s="6"/>
      <c r="D82" s="7"/>
      <c r="E82" s="6"/>
      <c r="F82" s="6"/>
      <c r="G82" s="6"/>
    </row>
    <row r="83" spans="1:14" x14ac:dyDescent="0.25">
      <c r="A83" s="5"/>
      <c r="B83" s="6"/>
      <c r="C83" s="6"/>
      <c r="D83" s="7"/>
      <c r="E83" s="38"/>
      <c r="F83" s="76"/>
      <c r="G83" s="39"/>
      <c r="H83" s="46"/>
      <c r="I83" s="46"/>
      <c r="J83" s="46"/>
      <c r="K83" s="46"/>
      <c r="L83" s="46"/>
      <c r="M83" s="41"/>
      <c r="N83" s="41"/>
    </row>
    <row r="84" spans="1:14" x14ac:dyDescent="0.25">
      <c r="A84" s="6"/>
      <c r="B84" s="6"/>
      <c r="C84" s="6"/>
      <c r="D84" s="7"/>
      <c r="E84" s="6"/>
      <c r="F84" s="6"/>
      <c r="G84" s="6"/>
    </row>
    <row r="85" spans="1:14" x14ac:dyDescent="0.25">
      <c r="A85" s="6"/>
      <c r="B85" s="6"/>
      <c r="C85" s="6"/>
      <c r="D85" s="7"/>
      <c r="E85" s="6"/>
      <c r="F85" s="6"/>
      <c r="G85" s="6"/>
    </row>
    <row r="86" spans="1:14" x14ac:dyDescent="0.25">
      <c r="A86" s="6"/>
      <c r="B86" s="6"/>
      <c r="C86" s="6"/>
      <c r="D86" s="7"/>
      <c r="E86" s="6"/>
      <c r="F86" s="6"/>
      <c r="G86" s="6"/>
      <c r="M86" s="41"/>
      <c r="N86" s="41"/>
    </row>
    <row r="87" spans="1:14" x14ac:dyDescent="0.25">
      <c r="A87" s="6"/>
      <c r="B87" s="6"/>
      <c r="C87" s="6"/>
      <c r="D87" s="7"/>
      <c r="E87" s="6"/>
      <c r="F87" s="6"/>
      <c r="G87" s="6"/>
    </row>
    <row r="88" spans="1:14" x14ac:dyDescent="0.25">
      <c r="A88" s="6"/>
      <c r="B88" s="6"/>
      <c r="C88" s="6"/>
      <c r="D88" s="7"/>
      <c r="E88" s="6"/>
      <c r="F88" s="6"/>
      <c r="G88" s="6"/>
    </row>
    <row r="89" spans="1:14" x14ac:dyDescent="0.25">
      <c r="A89" s="6"/>
      <c r="B89" s="6"/>
      <c r="C89" s="6"/>
      <c r="D89" s="7"/>
      <c r="E89" s="6"/>
      <c r="F89" s="6"/>
      <c r="G89" s="6"/>
    </row>
    <row r="90" spans="1:14" x14ac:dyDescent="0.25">
      <c r="A90" s="6"/>
      <c r="B90" s="6"/>
      <c r="C90" s="6"/>
      <c r="D90" s="7"/>
      <c r="E90" s="6"/>
      <c r="F90" s="6"/>
      <c r="G90" s="6"/>
    </row>
    <row r="91" spans="1:14" x14ac:dyDescent="0.25">
      <c r="A91" s="5"/>
      <c r="B91" s="6"/>
      <c r="C91" s="6"/>
      <c r="D91" s="7"/>
      <c r="E91" s="6"/>
      <c r="F91" s="6"/>
      <c r="G91" s="6"/>
    </row>
    <row r="92" spans="1:14" x14ac:dyDescent="0.25">
      <c r="A92" s="6"/>
      <c r="B92" s="6"/>
      <c r="C92" s="6"/>
      <c r="D92" s="7"/>
      <c r="E92" s="6"/>
      <c r="F92" s="6"/>
      <c r="G92" s="6"/>
    </row>
    <row r="93" spans="1:14" x14ac:dyDescent="0.25">
      <c r="A93" s="6"/>
      <c r="B93" s="6"/>
      <c r="C93" s="6"/>
      <c r="D93" s="7"/>
      <c r="E93" s="6"/>
      <c r="F93" s="6"/>
      <c r="G93" s="6"/>
    </row>
    <row r="94" spans="1:14" x14ac:dyDescent="0.25">
      <c r="A94" s="6"/>
      <c r="B94" s="6"/>
      <c r="C94" s="6"/>
      <c r="D94" s="7"/>
      <c r="E94" s="6"/>
      <c r="F94" s="6"/>
      <c r="G94" s="6"/>
    </row>
    <row r="95" spans="1:14" x14ac:dyDescent="0.25">
      <c r="A95" s="6"/>
      <c r="B95" s="6"/>
      <c r="C95" s="6"/>
      <c r="D95" s="7"/>
      <c r="E95" s="6"/>
      <c r="F95" s="6"/>
      <c r="G95" s="6"/>
    </row>
    <row r="96" spans="1:14" x14ac:dyDescent="0.25">
      <c r="A96" s="6"/>
      <c r="B96" s="6"/>
      <c r="C96" s="5"/>
      <c r="D96" s="7"/>
      <c r="E96" s="5"/>
      <c r="F96" s="5"/>
      <c r="G96" s="5"/>
    </row>
    <row r="97" spans="1:17" x14ac:dyDescent="0.25">
      <c r="A97" s="6"/>
    </row>
    <row r="98" spans="1:17" x14ac:dyDescent="0.25">
      <c r="B98" s="6"/>
      <c r="C98" s="6"/>
      <c r="D98" s="7"/>
      <c r="E98" s="6"/>
      <c r="F98" s="29"/>
      <c r="H98" s="41"/>
    </row>
    <row r="99" spans="1:17" x14ac:dyDescent="0.25">
      <c r="A99" s="5"/>
      <c r="B99" s="6"/>
      <c r="C99" s="6"/>
      <c r="D99" s="7"/>
      <c r="E99" s="8"/>
      <c r="F99" s="81"/>
      <c r="G99" s="41"/>
      <c r="H99" s="41"/>
      <c r="I99" s="41"/>
      <c r="J99" s="41"/>
      <c r="K99" s="41"/>
      <c r="L99" s="41"/>
      <c r="M99" s="41"/>
      <c r="N99" s="41"/>
      <c r="O99" s="41"/>
      <c r="P99" s="41"/>
      <c r="Q99" s="41"/>
    </row>
    <row r="100" spans="1:17" x14ac:dyDescent="0.25">
      <c r="A100" s="6"/>
      <c r="B100" s="6"/>
      <c r="C100" s="6"/>
      <c r="D100" s="7"/>
      <c r="E100" s="8"/>
      <c r="F100" s="83"/>
    </row>
    <row r="101" spans="1:17" x14ac:dyDescent="0.25">
      <c r="A101" s="6"/>
      <c r="B101" s="6"/>
      <c r="C101" s="5"/>
      <c r="D101" s="7"/>
      <c r="E101" s="6"/>
      <c r="F101" s="83"/>
    </row>
    <row r="102" spans="1:17" x14ac:dyDescent="0.25">
      <c r="A102" s="6"/>
      <c r="B102" s="6"/>
      <c r="C102" s="6"/>
      <c r="D102" s="7"/>
      <c r="E102" s="6"/>
      <c r="F102" s="83"/>
    </row>
    <row r="103" spans="1:17" x14ac:dyDescent="0.25">
      <c r="A103" s="6"/>
      <c r="B103" s="6"/>
      <c r="C103" s="6"/>
      <c r="D103" s="7"/>
      <c r="E103" s="6"/>
      <c r="F103" s="83"/>
    </row>
    <row r="104" spans="1:17" x14ac:dyDescent="0.25">
      <c r="A104" s="5"/>
      <c r="B104" s="6"/>
      <c r="C104" s="6"/>
      <c r="D104" s="7"/>
      <c r="E104" s="6"/>
      <c r="F104" s="83"/>
    </row>
    <row r="105" spans="1:17" x14ac:dyDescent="0.25">
      <c r="A105" s="6"/>
      <c r="B105" s="6"/>
      <c r="C105" s="6"/>
      <c r="D105" s="7"/>
      <c r="E105" s="6"/>
      <c r="F105" s="83"/>
    </row>
    <row r="106" spans="1:17" x14ac:dyDescent="0.25">
      <c r="A106" s="6"/>
      <c r="B106" s="6"/>
      <c r="C106" s="6"/>
      <c r="D106" s="7"/>
      <c r="E106" s="6"/>
      <c r="F106" s="83"/>
    </row>
    <row r="107" spans="1:17" x14ac:dyDescent="0.25">
      <c r="A107" s="6"/>
      <c r="B107" s="6"/>
      <c r="C107" s="6"/>
      <c r="D107" s="7"/>
      <c r="E107" s="6"/>
      <c r="F107" s="83"/>
    </row>
    <row r="108" spans="1:17" x14ac:dyDescent="0.25">
      <c r="A108" s="6"/>
      <c r="B108" s="6"/>
      <c r="C108" s="6"/>
      <c r="D108" s="7"/>
      <c r="E108" s="6"/>
      <c r="F108" s="83"/>
    </row>
    <row r="109" spans="1:17" x14ac:dyDescent="0.25">
      <c r="A109" s="6"/>
      <c r="B109" s="6"/>
      <c r="C109" s="6"/>
      <c r="D109" s="7"/>
      <c r="E109" s="6"/>
      <c r="F109" s="83"/>
    </row>
    <row r="110" spans="1:17" x14ac:dyDescent="0.25">
      <c r="A110" s="6"/>
      <c r="B110" s="6"/>
      <c r="C110" s="6"/>
      <c r="D110" s="7"/>
      <c r="E110" s="6"/>
      <c r="F110" s="83"/>
    </row>
    <row r="111" spans="1:17" x14ac:dyDescent="0.25">
      <c r="A111" s="6"/>
      <c r="B111" s="6"/>
      <c r="C111" s="6"/>
      <c r="D111" s="7"/>
      <c r="E111" s="6"/>
      <c r="F111" s="83"/>
    </row>
    <row r="112" spans="1:17" x14ac:dyDescent="0.25">
      <c r="A112" s="6"/>
      <c r="B112" s="6"/>
      <c r="C112" s="5"/>
      <c r="D112" s="7"/>
      <c r="E112" s="6"/>
      <c r="F112" s="83"/>
    </row>
    <row r="113" spans="1:6" x14ac:dyDescent="0.25">
      <c r="A113" s="6"/>
      <c r="B113" s="6"/>
      <c r="C113" s="6"/>
      <c r="D113" s="7"/>
      <c r="E113" s="6"/>
      <c r="F113" s="83"/>
    </row>
    <row r="114" spans="1:6" x14ac:dyDescent="0.25">
      <c r="A114" s="6"/>
      <c r="B114" s="6"/>
      <c r="C114" s="5"/>
      <c r="D114" s="7"/>
      <c r="E114" s="6"/>
      <c r="F114" s="83"/>
    </row>
    <row r="115" spans="1:6" x14ac:dyDescent="0.25">
      <c r="A115" s="6"/>
      <c r="B115" s="6"/>
      <c r="C115" s="6"/>
      <c r="D115" s="7"/>
      <c r="E115" s="6"/>
      <c r="F115" s="83"/>
    </row>
    <row r="116" spans="1:6" x14ac:dyDescent="0.25">
      <c r="A116" s="6"/>
      <c r="B116" s="6"/>
      <c r="C116" s="6"/>
      <c r="D116" s="7"/>
      <c r="E116" s="6"/>
      <c r="F116" s="83"/>
    </row>
    <row r="117" spans="1:6" x14ac:dyDescent="0.25">
      <c r="A117" s="6"/>
      <c r="B117" s="6"/>
      <c r="C117" s="5"/>
      <c r="D117" s="9"/>
      <c r="E117" s="5"/>
      <c r="F117" s="84"/>
    </row>
    <row r="118" spans="1:6" x14ac:dyDescent="0.25">
      <c r="A118" s="6"/>
    </row>
    <row r="120" spans="1:6" x14ac:dyDescent="0.25">
      <c r="E120" s="34"/>
    </row>
    <row r="121" spans="1:6" x14ac:dyDescent="0.25">
      <c r="E121" s="34"/>
    </row>
    <row r="122" spans="1:6" x14ac:dyDescent="0.25">
      <c r="E122" s="34"/>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110"/>
  <sheetViews>
    <sheetView showGridLines="0" workbookViewId="0">
      <selection activeCell="I5" sqref="I5"/>
    </sheetView>
  </sheetViews>
  <sheetFormatPr defaultRowHeight="15" x14ac:dyDescent="0.25"/>
  <cols>
    <col min="1" max="2" width="2.28515625" customWidth="1"/>
    <col min="3" max="3" width="27.7109375" style="35" customWidth="1"/>
    <col min="4" max="4" width="13.85546875" style="35" bestFit="1" customWidth="1"/>
    <col min="5" max="5" width="13.5703125" style="35" bestFit="1" customWidth="1"/>
    <col min="6" max="6" width="12.140625" style="73" bestFit="1" customWidth="1"/>
    <col min="7" max="7" width="12" style="35" bestFit="1" customWidth="1"/>
    <col min="8" max="8" width="11.28515625" bestFit="1" customWidth="1"/>
    <col min="9" max="9" width="13.5703125" bestFit="1" customWidth="1"/>
    <col min="10" max="10" width="12.5703125" bestFit="1" customWidth="1"/>
    <col min="11" max="11" width="12" bestFit="1" customWidth="1"/>
    <col min="12" max="12" width="11.28515625" bestFit="1" customWidth="1"/>
    <col min="13" max="13" width="13.5703125" bestFit="1" customWidth="1"/>
  </cols>
  <sheetData>
    <row r="3" spans="1:13" x14ac:dyDescent="0.25">
      <c r="E3" s="32" t="s">
        <v>127</v>
      </c>
      <c r="F3" s="91">
        <v>41061</v>
      </c>
      <c r="G3" s="92">
        <v>41153</v>
      </c>
      <c r="H3" s="92">
        <v>41244</v>
      </c>
      <c r="I3" s="92">
        <v>41334</v>
      </c>
      <c r="J3" s="92">
        <v>41426</v>
      </c>
      <c r="K3" s="92">
        <v>41518</v>
      </c>
      <c r="L3" s="92">
        <v>41609</v>
      </c>
      <c r="M3" s="92">
        <v>41699</v>
      </c>
    </row>
    <row r="4" spans="1:13" x14ac:dyDescent="0.25">
      <c r="A4" s="32"/>
      <c r="B4" s="35"/>
      <c r="H4" s="35"/>
      <c r="I4" s="35"/>
    </row>
    <row r="5" spans="1:13" x14ac:dyDescent="0.25">
      <c r="A5" s="32" t="s">
        <v>1</v>
      </c>
      <c r="B5" s="35"/>
      <c r="E5" s="41">
        <v>87642</v>
      </c>
      <c r="F5" s="81">
        <v>122290</v>
      </c>
      <c r="G5" s="41">
        <v>82055</v>
      </c>
      <c r="H5" s="41">
        <v>234029</v>
      </c>
      <c r="I5" s="41">
        <v>255057</v>
      </c>
      <c r="J5" s="14">
        <v>177082</v>
      </c>
      <c r="K5" s="14">
        <v>192146</v>
      </c>
      <c r="L5" s="14">
        <v>361452</v>
      </c>
      <c r="M5" s="14">
        <v>235716</v>
      </c>
    </row>
    <row r="6" spans="1:13" x14ac:dyDescent="0.25">
      <c r="A6" s="35"/>
      <c r="B6" s="35"/>
      <c r="H6" s="35"/>
      <c r="I6" s="93">
        <f>I5/E5-1</f>
        <v>1.9102142808242624</v>
      </c>
      <c r="J6" s="93">
        <f>J5/F5-1</f>
        <v>0.44804971788371906</v>
      </c>
      <c r="K6" s="93">
        <f t="shared" ref="K6:M6" si="0">K5/G5-1</f>
        <v>1.3416732679300467</v>
      </c>
      <c r="L6" s="93">
        <f t="shared" si="0"/>
        <v>0.54447525733990232</v>
      </c>
      <c r="M6" s="93">
        <f t="shared" si="0"/>
        <v>-7.5830108563968102E-2</v>
      </c>
    </row>
    <row r="7" spans="1:13" x14ac:dyDescent="0.25">
      <c r="A7" s="35"/>
      <c r="B7" s="35"/>
      <c r="H7" s="35"/>
      <c r="I7" s="35">
        <f>SUM(I5:L5)/SUM(E5:H5)-1</f>
        <v>0.87396771200876011</v>
      </c>
    </row>
    <row r="8" spans="1:13" x14ac:dyDescent="0.25">
      <c r="A8" s="35"/>
      <c r="B8" s="35"/>
      <c r="H8" s="41">
        <f>SUM(E5:H5)</f>
        <v>526016</v>
      </c>
      <c r="I8" s="41">
        <f>SUM(I5:L5)</f>
        <v>985737</v>
      </c>
    </row>
    <row r="9" spans="1:13" x14ac:dyDescent="0.25">
      <c r="A9" s="35"/>
      <c r="B9" s="35"/>
      <c r="H9" s="35"/>
      <c r="I9" s="35">
        <f>I8/H8-1</f>
        <v>0.87396771200876011</v>
      </c>
    </row>
    <row r="10" spans="1:13" x14ac:dyDescent="0.25">
      <c r="A10" s="35"/>
      <c r="B10" s="35"/>
      <c r="H10" s="35"/>
      <c r="I10" s="35"/>
    </row>
    <row r="11" spans="1:13" x14ac:dyDescent="0.25">
      <c r="A11" s="35"/>
      <c r="B11" s="35"/>
      <c r="G11" s="42"/>
      <c r="H11" s="42"/>
      <c r="I11" s="42"/>
    </row>
    <row r="12" spans="1:13" x14ac:dyDescent="0.25">
      <c r="A12" s="35"/>
      <c r="B12" s="35"/>
      <c r="G12" s="42"/>
      <c r="H12" s="42"/>
      <c r="I12" s="42"/>
    </row>
    <row r="13" spans="1:13" x14ac:dyDescent="0.25">
      <c r="A13" s="35"/>
      <c r="B13" s="35"/>
      <c r="G13" s="42"/>
      <c r="H13" s="42"/>
      <c r="I13" s="42"/>
    </row>
    <row r="14" spans="1:13" x14ac:dyDescent="0.25">
      <c r="A14" s="35"/>
      <c r="B14" s="32"/>
      <c r="G14" s="42"/>
      <c r="H14" s="42"/>
      <c r="I14" s="42"/>
    </row>
    <row r="15" spans="1:13" x14ac:dyDescent="0.25">
      <c r="A15" s="32"/>
      <c r="B15" s="35"/>
      <c r="H15" s="35"/>
      <c r="I15" s="35"/>
    </row>
    <row r="16" spans="1:13" x14ac:dyDescent="0.25">
      <c r="A16" s="35"/>
      <c r="B16" s="35"/>
      <c r="G16" s="42"/>
      <c r="H16" s="42"/>
      <c r="I16" s="42"/>
    </row>
    <row r="17" spans="1:9" x14ac:dyDescent="0.25">
      <c r="A17" s="35"/>
      <c r="B17" s="35"/>
      <c r="G17" s="42"/>
      <c r="H17" s="42"/>
      <c r="I17" s="42"/>
    </row>
    <row r="18" spans="1:9" x14ac:dyDescent="0.25">
      <c r="A18" s="35"/>
      <c r="B18" s="35"/>
      <c r="G18" s="42"/>
      <c r="H18" s="42"/>
      <c r="I18" s="42"/>
    </row>
    <row r="19" spans="1:9" x14ac:dyDescent="0.25">
      <c r="A19" s="35"/>
      <c r="B19" s="32"/>
      <c r="G19" s="42"/>
      <c r="H19" s="42"/>
      <c r="I19" s="42"/>
    </row>
    <row r="20" spans="1:9" x14ac:dyDescent="0.25">
      <c r="A20" s="35"/>
      <c r="B20" s="32"/>
      <c r="G20" s="42"/>
      <c r="H20" s="42"/>
      <c r="I20" s="42"/>
    </row>
    <row r="21" spans="1:9" x14ac:dyDescent="0.25">
      <c r="A21" s="35"/>
      <c r="B21" s="35"/>
      <c r="G21" s="42"/>
      <c r="H21" s="42"/>
      <c r="I21" s="42"/>
    </row>
    <row r="22" spans="1:9" x14ac:dyDescent="0.25">
      <c r="A22" s="35"/>
      <c r="B22" s="35"/>
      <c r="G22" s="42"/>
      <c r="H22" s="42"/>
      <c r="I22" s="42"/>
    </row>
    <row r="23" spans="1:9" x14ac:dyDescent="0.25">
      <c r="A23" s="35"/>
      <c r="B23" s="32"/>
      <c r="G23" s="42"/>
      <c r="H23" s="42"/>
      <c r="I23" s="42"/>
    </row>
    <row r="24" spans="1:9" x14ac:dyDescent="0.25">
      <c r="A24" s="35"/>
      <c r="B24" s="35"/>
      <c r="G24" s="42"/>
      <c r="H24" s="42"/>
      <c r="I24" s="42"/>
    </row>
    <row r="25" spans="1:9" x14ac:dyDescent="0.25">
      <c r="A25" s="32"/>
      <c r="B25" s="32"/>
      <c r="E25" s="32"/>
      <c r="F25" s="80"/>
      <c r="G25" s="45"/>
      <c r="H25" s="45"/>
      <c r="I25" s="45"/>
    </row>
    <row r="26" spans="1:9" x14ac:dyDescent="0.25">
      <c r="A26" s="35"/>
      <c r="B26" s="35"/>
      <c r="H26" s="35"/>
      <c r="I26" s="35"/>
    </row>
    <row r="27" spans="1:9" x14ac:dyDescent="0.25">
      <c r="A27" s="35"/>
      <c r="B27" s="35"/>
      <c r="F27" s="80"/>
      <c r="G27" s="32"/>
      <c r="H27" s="32"/>
      <c r="I27" s="35"/>
    </row>
    <row r="28" spans="1:9" x14ac:dyDescent="0.25">
      <c r="A28" s="35"/>
      <c r="B28" s="35"/>
      <c r="F28" s="80"/>
      <c r="H28" s="35"/>
      <c r="I28" s="35"/>
    </row>
    <row r="29" spans="1:9" x14ac:dyDescent="0.25">
      <c r="A29" s="35"/>
      <c r="B29" s="35"/>
      <c r="H29" s="35"/>
      <c r="I29" s="35"/>
    </row>
    <row r="30" spans="1:9" x14ac:dyDescent="0.25">
      <c r="A30" s="35"/>
      <c r="B30" s="35"/>
      <c r="H30" s="35"/>
      <c r="I30" s="35"/>
    </row>
    <row r="31" spans="1:9" x14ac:dyDescent="0.25">
      <c r="A31" s="35"/>
      <c r="B31" s="35"/>
      <c r="H31" s="35"/>
      <c r="I31" s="35"/>
    </row>
    <row r="32" spans="1:9" x14ac:dyDescent="0.25">
      <c r="A32" s="35"/>
      <c r="B32" s="35"/>
      <c r="H32" s="35"/>
      <c r="I32" s="35"/>
    </row>
    <row r="33" spans="1:9" x14ac:dyDescent="0.25">
      <c r="A33" s="35"/>
      <c r="B33" s="35"/>
      <c r="H33" s="35"/>
      <c r="I33" s="35"/>
    </row>
    <row r="34" spans="1:9" x14ac:dyDescent="0.25">
      <c r="A34" s="35"/>
      <c r="B34" s="35"/>
      <c r="H34" s="35"/>
      <c r="I34" s="35"/>
    </row>
    <row r="35" spans="1:9" x14ac:dyDescent="0.25">
      <c r="A35" s="35"/>
      <c r="B35" s="35"/>
      <c r="H35" s="35"/>
      <c r="I35" s="35"/>
    </row>
    <row r="36" spans="1:9" x14ac:dyDescent="0.25">
      <c r="A36" s="35"/>
      <c r="B36" s="35"/>
      <c r="D36" s="37"/>
    </row>
    <row r="37" spans="1:9" x14ac:dyDescent="0.25">
      <c r="A37" s="35"/>
      <c r="B37" s="35"/>
      <c r="D37" s="37"/>
    </row>
    <row r="38" spans="1:9" x14ac:dyDescent="0.25">
      <c r="A38" s="35"/>
      <c r="B38" s="35"/>
      <c r="D38" s="37"/>
    </row>
    <row r="39" spans="1:9" x14ac:dyDescent="0.25">
      <c r="A39" s="32"/>
      <c r="B39" s="32"/>
      <c r="C39" s="32"/>
      <c r="D39" s="43"/>
    </row>
    <row r="40" spans="1:9" x14ac:dyDescent="0.25">
      <c r="A40" s="32"/>
      <c r="B40" s="32"/>
      <c r="C40" s="32"/>
      <c r="D40" s="43"/>
    </row>
    <row r="41" spans="1:9" x14ac:dyDescent="0.25">
      <c r="A41" s="35"/>
      <c r="B41" s="35"/>
      <c r="D41" s="37"/>
    </row>
    <row r="42" spans="1:9" x14ac:dyDescent="0.25">
      <c r="A42" s="69"/>
      <c r="B42" s="70"/>
      <c r="C42" s="70"/>
      <c r="D42" s="71"/>
    </row>
    <row r="43" spans="1:9" x14ac:dyDescent="0.25">
      <c r="A43" s="70"/>
      <c r="B43" s="70"/>
      <c r="C43" s="70"/>
      <c r="D43" s="71"/>
    </row>
    <row r="44" spans="1:9" x14ac:dyDescent="0.25">
      <c r="A44" s="70"/>
      <c r="B44" s="70"/>
      <c r="C44" s="70"/>
      <c r="D44" s="71"/>
    </row>
    <row r="45" spans="1:9" x14ac:dyDescent="0.25">
      <c r="A45" s="70"/>
      <c r="B45" s="70"/>
      <c r="C45" s="70"/>
      <c r="D45" s="71"/>
    </row>
    <row r="46" spans="1:9" x14ac:dyDescent="0.25">
      <c r="A46" s="70"/>
      <c r="B46" s="70"/>
      <c r="C46" s="70"/>
      <c r="D46" s="71"/>
    </row>
    <row r="47" spans="1:9" x14ac:dyDescent="0.25">
      <c r="A47" s="70"/>
      <c r="B47" s="70"/>
      <c r="C47" s="69"/>
      <c r="D47" s="71"/>
    </row>
    <row r="48" spans="1:9" x14ac:dyDescent="0.25">
      <c r="A48" s="69"/>
      <c r="B48" s="70"/>
      <c r="C48" s="70"/>
      <c r="D48" s="71"/>
    </row>
    <row r="49" spans="1:4" x14ac:dyDescent="0.25">
      <c r="A49" s="70"/>
      <c r="B49" s="70"/>
      <c r="C49" s="70"/>
      <c r="D49" s="71"/>
    </row>
    <row r="50" spans="1:4" x14ac:dyDescent="0.25">
      <c r="A50" s="70"/>
      <c r="B50" s="70"/>
      <c r="C50" s="70"/>
      <c r="D50" s="71"/>
    </row>
    <row r="51" spans="1:4" x14ac:dyDescent="0.25">
      <c r="A51" s="70"/>
      <c r="B51" s="70"/>
      <c r="C51" s="70"/>
      <c r="D51" s="71"/>
    </row>
    <row r="52" spans="1:4" x14ac:dyDescent="0.25">
      <c r="A52" s="70"/>
      <c r="B52" s="70"/>
      <c r="C52" s="69"/>
      <c r="D52" s="71"/>
    </row>
    <row r="53" spans="1:4" x14ac:dyDescent="0.25">
      <c r="A53" s="70"/>
      <c r="B53" s="70"/>
      <c r="C53" s="70"/>
      <c r="D53" s="71"/>
    </row>
    <row r="54" spans="1:4" x14ac:dyDescent="0.25">
      <c r="A54" s="70"/>
      <c r="B54" s="70"/>
      <c r="C54" s="69"/>
      <c r="D54" s="71"/>
    </row>
    <row r="55" spans="1:4" x14ac:dyDescent="0.25">
      <c r="A55" s="70"/>
      <c r="B55" s="70"/>
      <c r="C55" s="70"/>
      <c r="D55" s="71"/>
    </row>
    <row r="56" spans="1:4" x14ac:dyDescent="0.25">
      <c r="A56" s="69"/>
      <c r="B56" s="70"/>
      <c r="C56" s="70"/>
      <c r="D56" s="71"/>
    </row>
    <row r="57" spans="1:4" x14ac:dyDescent="0.25">
      <c r="A57" s="70"/>
      <c r="B57" s="70"/>
      <c r="C57" s="70"/>
      <c r="D57" s="71"/>
    </row>
    <row r="58" spans="1:4" x14ac:dyDescent="0.25">
      <c r="A58" s="70"/>
      <c r="B58" s="72"/>
      <c r="C58" s="70"/>
      <c r="D58" s="71"/>
    </row>
    <row r="59" spans="1:4" x14ac:dyDescent="0.25">
      <c r="A59" s="70"/>
      <c r="B59" s="72"/>
      <c r="C59" s="70"/>
      <c r="D59" s="71"/>
    </row>
    <row r="60" spans="1:4" x14ac:dyDescent="0.25">
      <c r="A60" s="70"/>
      <c r="B60" s="72"/>
      <c r="C60" s="70"/>
      <c r="D60" s="71"/>
    </row>
    <row r="61" spans="1:4" x14ac:dyDescent="0.25">
      <c r="A61" s="70"/>
      <c r="B61" s="72"/>
      <c r="C61" s="70"/>
      <c r="D61" s="71"/>
    </row>
    <row r="62" spans="1:4" x14ac:dyDescent="0.25">
      <c r="A62" s="70"/>
      <c r="B62" s="70"/>
      <c r="C62" s="69"/>
      <c r="D62" s="71"/>
    </row>
    <row r="63" spans="1:4" x14ac:dyDescent="0.25">
      <c r="A63" s="70"/>
      <c r="B63" s="70"/>
      <c r="C63" s="70"/>
      <c r="D63" s="71"/>
    </row>
    <row r="64" spans="1:4" x14ac:dyDescent="0.25">
      <c r="A64" s="69"/>
      <c r="B64" s="70"/>
      <c r="C64" s="70"/>
      <c r="D64" s="71"/>
    </row>
    <row r="65" spans="1:4" x14ac:dyDescent="0.25">
      <c r="A65" s="70"/>
      <c r="B65" s="70"/>
      <c r="C65" s="70"/>
      <c r="D65" s="71"/>
    </row>
    <row r="66" spans="1:4" x14ac:dyDescent="0.25">
      <c r="A66" s="70"/>
      <c r="B66" s="70"/>
      <c r="C66" s="70"/>
      <c r="D66" s="71"/>
    </row>
    <row r="67" spans="1:4" x14ac:dyDescent="0.25">
      <c r="A67" s="70"/>
      <c r="B67" s="70"/>
      <c r="C67" s="69"/>
      <c r="D67" s="71"/>
    </row>
    <row r="68" spans="1:4" x14ac:dyDescent="0.25">
      <c r="A68" s="70"/>
      <c r="B68" s="70"/>
      <c r="C68" s="70"/>
      <c r="D68" s="71"/>
    </row>
    <row r="69" spans="1:4" x14ac:dyDescent="0.25">
      <c r="A69" s="70"/>
      <c r="B69" s="70"/>
      <c r="C69" s="69"/>
      <c r="D69" s="71"/>
    </row>
    <row r="70" spans="1:4" x14ac:dyDescent="0.25">
      <c r="A70" s="6"/>
      <c r="B70" s="6"/>
      <c r="C70" s="6"/>
      <c r="D70" s="7"/>
    </row>
    <row r="71" spans="1:4" x14ac:dyDescent="0.25">
      <c r="A71" s="35"/>
      <c r="B71" s="35"/>
      <c r="D71" s="37"/>
    </row>
    <row r="72" spans="1:4" x14ac:dyDescent="0.25">
      <c r="A72" s="32"/>
      <c r="B72" s="35"/>
      <c r="D72" s="37"/>
    </row>
    <row r="73" spans="1:4" x14ac:dyDescent="0.25">
      <c r="A73" s="5"/>
      <c r="B73" s="6"/>
      <c r="C73" s="6"/>
      <c r="D73" s="7"/>
    </row>
    <row r="74" spans="1:4" x14ac:dyDescent="0.25">
      <c r="A74" s="6"/>
      <c r="B74" s="6"/>
      <c r="C74" s="6"/>
      <c r="D74" s="7"/>
    </row>
    <row r="75" spans="1:4" x14ac:dyDescent="0.25">
      <c r="A75" s="5"/>
      <c r="B75" s="6"/>
      <c r="C75" s="6"/>
      <c r="D75" s="7"/>
    </row>
    <row r="76" spans="1:4" x14ac:dyDescent="0.25">
      <c r="A76" s="6"/>
      <c r="B76" s="6"/>
      <c r="C76" s="6"/>
      <c r="D76" s="7"/>
    </row>
    <row r="77" spans="1:4" x14ac:dyDescent="0.25">
      <c r="A77" s="6"/>
      <c r="B77" s="6"/>
      <c r="C77" s="6"/>
      <c r="D77" s="7"/>
    </row>
    <row r="78" spans="1:4" x14ac:dyDescent="0.25">
      <c r="A78" s="6"/>
      <c r="B78" s="6"/>
      <c r="C78" s="6"/>
      <c r="D78" s="7"/>
    </row>
    <row r="79" spans="1:4" x14ac:dyDescent="0.25">
      <c r="A79" s="6"/>
      <c r="B79" s="6"/>
      <c r="C79" s="6"/>
      <c r="D79" s="7"/>
    </row>
    <row r="80" spans="1:4" x14ac:dyDescent="0.25">
      <c r="A80" s="6"/>
      <c r="B80" s="6"/>
      <c r="C80" s="6"/>
      <c r="D80" s="7"/>
    </row>
    <row r="81" spans="1:7" x14ac:dyDescent="0.25">
      <c r="A81" s="6"/>
      <c r="B81" s="6"/>
      <c r="C81" s="6"/>
      <c r="D81" s="7"/>
    </row>
    <row r="82" spans="1:7" x14ac:dyDescent="0.25">
      <c r="A82" s="6"/>
      <c r="B82" s="6"/>
      <c r="C82" s="6"/>
      <c r="D82" s="7"/>
    </row>
    <row r="83" spans="1:7" x14ac:dyDescent="0.25">
      <c r="A83" s="5"/>
      <c r="B83" s="6"/>
      <c r="C83" s="6"/>
      <c r="D83" s="7"/>
    </row>
    <row r="84" spans="1:7" x14ac:dyDescent="0.25">
      <c r="A84" s="6"/>
      <c r="B84" s="6"/>
      <c r="C84" s="6"/>
      <c r="D84" s="7"/>
    </row>
    <row r="85" spans="1:7" x14ac:dyDescent="0.25">
      <c r="A85" s="6"/>
      <c r="B85" s="6"/>
      <c r="C85" s="6"/>
      <c r="D85" s="7"/>
    </row>
    <row r="86" spans="1:7" x14ac:dyDescent="0.25">
      <c r="A86" s="6"/>
      <c r="B86" s="6"/>
      <c r="C86" s="6"/>
      <c r="D86" s="7"/>
    </row>
    <row r="87" spans="1:7" x14ac:dyDescent="0.25">
      <c r="A87" s="6"/>
      <c r="B87" s="6"/>
      <c r="C87" s="6"/>
      <c r="D87" s="7"/>
    </row>
    <row r="88" spans="1:7" x14ac:dyDescent="0.25">
      <c r="A88" s="6"/>
      <c r="B88" s="6"/>
      <c r="C88" s="6"/>
      <c r="D88" s="7"/>
    </row>
    <row r="89" spans="1:7" x14ac:dyDescent="0.25">
      <c r="A89" s="6"/>
      <c r="B89" s="6"/>
      <c r="C89" s="5"/>
      <c r="D89" s="7"/>
    </row>
    <row r="90" spans="1:7" x14ac:dyDescent="0.25">
      <c r="A90" s="35"/>
      <c r="B90" s="35"/>
      <c r="D90" s="37"/>
    </row>
    <row r="91" spans="1:7" x14ac:dyDescent="0.25">
      <c r="A91" s="5"/>
      <c r="B91" s="6"/>
      <c r="C91" s="6"/>
      <c r="D91" s="7"/>
    </row>
    <row r="92" spans="1:7" x14ac:dyDescent="0.25">
      <c r="A92" s="6"/>
      <c r="B92" s="6"/>
      <c r="C92" s="6"/>
      <c r="D92" s="7"/>
      <c r="E92" s="41"/>
      <c r="F92" s="81"/>
      <c r="G92" s="41"/>
    </row>
    <row r="93" spans="1:7" x14ac:dyDescent="0.25">
      <c r="A93" s="6"/>
      <c r="B93" s="6"/>
      <c r="C93" s="6"/>
      <c r="D93" s="7"/>
    </row>
    <row r="94" spans="1:7" x14ac:dyDescent="0.25">
      <c r="A94" s="6"/>
      <c r="B94" s="6"/>
      <c r="C94" s="5"/>
      <c r="D94" s="7"/>
    </row>
    <row r="95" spans="1:7" x14ac:dyDescent="0.25">
      <c r="A95" s="6"/>
      <c r="B95" s="6"/>
      <c r="C95" s="6"/>
      <c r="D95" s="7"/>
    </row>
    <row r="96" spans="1:7" x14ac:dyDescent="0.25">
      <c r="A96" s="5"/>
      <c r="B96" s="6"/>
      <c r="C96" s="6"/>
      <c r="D96" s="7"/>
    </row>
    <row r="97" spans="1:4" x14ac:dyDescent="0.25">
      <c r="A97" s="6"/>
      <c r="B97" s="6"/>
      <c r="C97" s="6"/>
      <c r="D97" s="7"/>
    </row>
    <row r="98" spans="1:4" x14ac:dyDescent="0.25">
      <c r="A98" s="6"/>
      <c r="B98" s="6"/>
      <c r="C98" s="6"/>
      <c r="D98" s="7"/>
    </row>
    <row r="99" spans="1:4" x14ac:dyDescent="0.25">
      <c r="A99" s="6"/>
      <c r="B99" s="6"/>
      <c r="C99" s="6"/>
      <c r="D99" s="7"/>
    </row>
    <row r="100" spans="1:4" x14ac:dyDescent="0.25">
      <c r="A100" s="6"/>
      <c r="B100" s="6"/>
      <c r="C100" s="6"/>
      <c r="D100" s="7"/>
    </row>
    <row r="101" spans="1:4" x14ac:dyDescent="0.25">
      <c r="A101" s="6"/>
      <c r="B101" s="6"/>
      <c r="C101" s="6"/>
      <c r="D101" s="7"/>
    </row>
    <row r="102" spans="1:4" x14ac:dyDescent="0.25">
      <c r="A102" s="6"/>
      <c r="B102" s="6"/>
      <c r="C102" s="6"/>
      <c r="D102" s="7"/>
    </row>
    <row r="103" spans="1:4" x14ac:dyDescent="0.25">
      <c r="A103" s="6"/>
      <c r="B103" s="6"/>
      <c r="C103" s="6"/>
      <c r="D103" s="7"/>
    </row>
    <row r="104" spans="1:4" x14ac:dyDescent="0.25">
      <c r="A104" s="6"/>
      <c r="B104" s="6"/>
      <c r="C104" s="6"/>
      <c r="D104" s="7"/>
    </row>
    <row r="105" spans="1:4" x14ac:dyDescent="0.25">
      <c r="A105" s="6"/>
      <c r="B105" s="6"/>
      <c r="C105" s="5"/>
      <c r="D105" s="7"/>
    </row>
    <row r="106" spans="1:4" x14ac:dyDescent="0.25">
      <c r="A106" s="6"/>
      <c r="B106" s="6"/>
      <c r="C106" s="6"/>
      <c r="D106" s="7"/>
    </row>
    <row r="107" spans="1:4" x14ac:dyDescent="0.25">
      <c r="A107" s="6"/>
      <c r="B107" s="6"/>
      <c r="C107" s="5"/>
      <c r="D107" s="7"/>
    </row>
    <row r="108" spans="1:4" x14ac:dyDescent="0.25">
      <c r="A108" s="6"/>
      <c r="B108" s="6"/>
      <c r="C108" s="6"/>
      <c r="D108" s="7"/>
    </row>
    <row r="109" spans="1:4" x14ac:dyDescent="0.25">
      <c r="A109" s="6"/>
      <c r="B109" s="6"/>
      <c r="C109" s="6"/>
      <c r="D109" s="7"/>
    </row>
    <row r="110" spans="1:4" x14ac:dyDescent="0.25">
      <c r="A110" s="6"/>
      <c r="B110" s="6"/>
      <c r="C110" s="5"/>
      <c r="D110" s="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election activeCell="H5" sqref="H5"/>
    </sheetView>
  </sheetViews>
  <sheetFormatPr defaultRowHeight="15" x14ac:dyDescent="0.25"/>
  <cols>
    <col min="1" max="1" width="3.140625" style="61" customWidth="1"/>
    <col min="2" max="2" width="3.28515625" style="61" customWidth="1"/>
    <col min="3" max="3" width="14.7109375" style="61" customWidth="1"/>
    <col min="4" max="4" width="5.7109375" style="62" customWidth="1"/>
    <col min="5" max="7" width="9.140625" style="61"/>
    <col min="8" max="8" width="13.7109375" style="61" customWidth="1"/>
    <col min="9" max="16384" width="9.140625" style="61"/>
  </cols>
  <sheetData>
    <row r="1" spans="1:12" s="49" customFormat="1" ht="23.25" x14ac:dyDescent="0.35">
      <c r="A1" s="48" t="s">
        <v>0</v>
      </c>
    </row>
    <row r="2" spans="1:12" s="53" customFormat="1" x14ac:dyDescent="0.25">
      <c r="A2" s="50"/>
      <c r="B2" s="50"/>
      <c r="C2" s="51"/>
      <c r="D2" s="52"/>
      <c r="E2" s="51"/>
      <c r="F2" s="51"/>
      <c r="G2" s="51"/>
      <c r="H2" s="51"/>
      <c r="I2" s="51"/>
      <c r="J2" s="51"/>
      <c r="K2" s="51"/>
      <c r="L2" s="51"/>
    </row>
    <row r="3" spans="1:12" s="54" customFormat="1" x14ac:dyDescent="0.25">
      <c r="A3" s="54" t="s">
        <v>70</v>
      </c>
      <c r="B3" s="55"/>
      <c r="C3" s="55"/>
      <c r="E3" s="55" t="s">
        <v>71</v>
      </c>
      <c r="F3" s="55" t="s">
        <v>36</v>
      </c>
      <c r="G3" s="55" t="s">
        <v>72</v>
      </c>
      <c r="H3" s="55" t="s">
        <v>87</v>
      </c>
      <c r="I3" s="55" t="s">
        <v>88</v>
      </c>
      <c r="J3" s="55" t="s">
        <v>89</v>
      </c>
      <c r="K3" s="55" t="s">
        <v>90</v>
      </c>
      <c r="L3" s="55" t="s">
        <v>91</v>
      </c>
    </row>
    <row r="4" spans="1:12" s="56" customFormat="1" x14ac:dyDescent="0.25">
      <c r="A4" s="56" t="s">
        <v>1</v>
      </c>
      <c r="D4" s="57"/>
      <c r="E4" s="58">
        <v>234238</v>
      </c>
      <c r="F4" s="58">
        <v>526016</v>
      </c>
      <c r="G4" s="51">
        <v>985737</v>
      </c>
      <c r="H4" s="56">
        <f>G4*(1+Assumption!H5)</f>
        <v>1590181.796226271</v>
      </c>
      <c r="I4" s="56">
        <f>H4*(1+Assumption!I5)</f>
        <v>2223986.8808064014</v>
      </c>
      <c r="J4" s="56">
        <f>I4*(1+Assumption!J5)</f>
        <v>2800162.0248596286</v>
      </c>
      <c r="K4" s="56">
        <f>J4*(1+Assumption!K5)</f>
        <v>3271702.325650237</v>
      </c>
      <c r="L4" s="56">
        <f>K4*(1+Assumption!L5)</f>
        <v>3629817.5580099281</v>
      </c>
    </row>
    <row r="5" spans="1:12" s="56" customFormat="1" x14ac:dyDescent="0.25">
      <c r="A5" s="56" t="s">
        <v>2</v>
      </c>
      <c r="D5" s="57"/>
      <c r="E5" s="51">
        <v>111683</v>
      </c>
      <c r="F5" s="51">
        <v>298530</v>
      </c>
      <c r="G5" s="51">
        <v>623953</v>
      </c>
      <c r="H5" s="56">
        <f>Assumption!H13*'P&amp;L'!H4</f>
        <v>889072.92730305728</v>
      </c>
      <c r="I5" s="56">
        <f>Assumption!I13*'P&amp;L'!I4</f>
        <v>1304452.0114293026</v>
      </c>
      <c r="J5" s="56">
        <f>Assumption!J13*'P&amp;L'!J4</f>
        <v>1660141.6602341316</v>
      </c>
      <c r="K5" s="56">
        <f>Assumption!K13*'P&amp;L'!K4</f>
        <v>1895965.1333769469</v>
      </c>
      <c r="L5" s="56">
        <f>Assumption!L13*'P&amp;L'!L4</f>
        <v>2128180.4665565104</v>
      </c>
    </row>
    <row r="6" spans="1:12" s="56" customFormat="1" x14ac:dyDescent="0.25">
      <c r="B6" s="59" t="s">
        <v>3</v>
      </c>
      <c r="D6" s="57"/>
      <c r="E6" s="50">
        <f>E4-E5</f>
        <v>122555</v>
      </c>
      <c r="F6" s="50">
        <f t="shared" ref="F6:L6" si="0">F4-F5</f>
        <v>227486</v>
      </c>
      <c r="G6" s="50">
        <f t="shared" si="0"/>
        <v>361784</v>
      </c>
      <c r="H6" s="50">
        <f t="shared" si="0"/>
        <v>701108.86892321368</v>
      </c>
      <c r="I6" s="50">
        <f t="shared" si="0"/>
        <v>919534.86937709874</v>
      </c>
      <c r="J6" s="50">
        <f t="shared" si="0"/>
        <v>1140020.364625497</v>
      </c>
      <c r="K6" s="50">
        <f t="shared" si="0"/>
        <v>1375737.1922732901</v>
      </c>
      <c r="L6" s="50">
        <f t="shared" si="0"/>
        <v>1501637.0914534177</v>
      </c>
    </row>
    <row r="7" spans="1:12" s="56" customFormat="1" x14ac:dyDescent="0.25">
      <c r="A7" s="59" t="s">
        <v>4</v>
      </c>
      <c r="D7" s="57"/>
      <c r="E7" s="60"/>
      <c r="F7" s="60"/>
      <c r="G7" s="60"/>
      <c r="H7" s="50"/>
      <c r="I7" s="50"/>
      <c r="J7" s="50"/>
      <c r="K7" s="50"/>
      <c r="L7" s="50"/>
    </row>
    <row r="8" spans="1:12" s="56" customFormat="1" x14ac:dyDescent="0.25">
      <c r="A8" s="56" t="s">
        <v>5</v>
      </c>
      <c r="D8" s="57"/>
      <c r="E8" s="58">
        <v>8644</v>
      </c>
      <c r="F8" s="58">
        <v>36115</v>
      </c>
      <c r="G8" s="51">
        <v>73737</v>
      </c>
      <c r="H8" s="51">
        <f>Assumption!H17*Assumption!H11</f>
        <v>159018.1796226271</v>
      </c>
      <c r="I8" s="51">
        <f>Assumption!I17*Assumption!I11</f>
        <v>266878.42569676816</v>
      </c>
      <c r="J8" s="51">
        <f>Assumption!J17*Assumption!J11</f>
        <v>336019.44298315543</v>
      </c>
      <c r="K8" s="51">
        <f>Assumption!K17*Assumption!K11</f>
        <v>392604.27907802846</v>
      </c>
      <c r="L8" s="51">
        <f>Assumption!L17*Assumption!L11</f>
        <v>435578.10696119134</v>
      </c>
    </row>
    <row r="9" spans="1:12" s="56" customFormat="1" x14ac:dyDescent="0.25">
      <c r="A9" s="56" t="s">
        <v>6</v>
      </c>
      <c r="D9" s="57"/>
      <c r="E9" s="51">
        <v>64375</v>
      </c>
      <c r="F9" s="58">
        <v>116855</v>
      </c>
      <c r="G9" s="51">
        <v>157771</v>
      </c>
      <c r="H9" s="51">
        <f>Assumption!H19*Assumption!H11</f>
        <v>348266.88008289709</v>
      </c>
      <c r="I9" s="51">
        <f>Assumption!I19*Assumption!I11</f>
        <v>445698.5488541259</v>
      </c>
      <c r="J9" s="51">
        <f>Assumption!J19*Assumption!J11</f>
        <v>540869.7635946013</v>
      </c>
      <c r="K9" s="51">
        <f>Assumption!K19*Assumption!K11</f>
        <v>668051.66137267847</v>
      </c>
      <c r="L9" s="51">
        <f>Assumption!L19*Assumption!L11</f>
        <v>723244.35007128655</v>
      </c>
    </row>
    <row r="10" spans="1:12" s="56" customFormat="1" x14ac:dyDescent="0.25">
      <c r="A10" s="56" t="s">
        <v>7</v>
      </c>
      <c r="D10" s="57"/>
      <c r="E10" s="58">
        <v>10757</v>
      </c>
      <c r="F10" s="51">
        <v>20899</v>
      </c>
      <c r="G10" s="58">
        <v>31573</v>
      </c>
      <c r="H10" s="51">
        <f>Assumption!H21*Assumption!H11</f>
        <v>47705.453886788127</v>
      </c>
      <c r="I10" s="51">
        <f>Assumption!I21*Assumption!I11</f>
        <v>66719.606424192039</v>
      </c>
      <c r="J10" s="51">
        <f>Assumption!J21*Assumption!J11</f>
        <v>84004.860745788857</v>
      </c>
      <c r="K10" s="51">
        <f>Assumption!K21*Assumption!K11</f>
        <v>98151.069769507114</v>
      </c>
      <c r="L10" s="51">
        <f>Assumption!L21*Assumption!L11</f>
        <v>108894.52674029784</v>
      </c>
    </row>
    <row r="11" spans="1:12" s="56" customFormat="1" x14ac:dyDescent="0.25">
      <c r="B11" s="59" t="s">
        <v>8</v>
      </c>
      <c r="D11" s="57"/>
      <c r="E11" s="50">
        <f>SUM(E8:E10)</f>
        <v>83776</v>
      </c>
      <c r="F11" s="50">
        <f t="shared" ref="F11:G11" si="1">SUM(F8:F10)</f>
        <v>173869</v>
      </c>
      <c r="G11" s="50">
        <f t="shared" si="1"/>
        <v>263081</v>
      </c>
      <c r="H11" s="59">
        <f>SUM(H8:H10)</f>
        <v>554990.51359231235</v>
      </c>
      <c r="I11" s="59">
        <f t="shared" ref="I11:L11" si="2">SUM(I8:I10)</f>
        <v>779296.58097508608</v>
      </c>
      <c r="J11" s="59">
        <f t="shared" si="2"/>
        <v>960894.06732354558</v>
      </c>
      <c r="K11" s="59">
        <f t="shared" si="2"/>
        <v>1158807.010220214</v>
      </c>
      <c r="L11" s="59">
        <f t="shared" si="2"/>
        <v>1267716.9837727759</v>
      </c>
    </row>
    <row r="12" spans="1:12" s="56" customFormat="1" x14ac:dyDescent="0.25">
      <c r="A12" s="56" t="s">
        <v>9</v>
      </c>
      <c r="D12" s="57"/>
      <c r="E12" s="51">
        <f>E6-E11</f>
        <v>38779</v>
      </c>
      <c r="F12" s="51">
        <f>F6-F11</f>
        <v>53617</v>
      </c>
      <c r="G12" s="51">
        <f>G6-G11</f>
        <v>98703</v>
      </c>
      <c r="H12" s="51">
        <f>Assumption!H25*Assumption!H11</f>
        <v>159018.1796226271</v>
      </c>
      <c r="I12" s="51">
        <f>Assumption!I25*Assumption!I11</f>
        <v>222398.68808064016</v>
      </c>
      <c r="J12" s="51">
        <f>Assumption!J25*Assumption!J11</f>
        <v>280016.20248596289</v>
      </c>
      <c r="K12" s="51">
        <f>Assumption!K25*Assumption!K11</f>
        <v>327170.2325650237</v>
      </c>
      <c r="L12" s="51">
        <f>Assumption!L25*Assumption!L11</f>
        <v>362981.75580099283</v>
      </c>
    </row>
    <row r="13" spans="1:12" s="56" customFormat="1" x14ac:dyDescent="0.25">
      <c r="A13" s="56" t="s">
        <v>10</v>
      </c>
      <c r="D13" s="57"/>
      <c r="E13" s="51">
        <v>12</v>
      </c>
      <c r="F13" s="51">
        <v>-407</v>
      </c>
      <c r="G13" s="51">
        <v>-7374</v>
      </c>
      <c r="H13" s="56">
        <f>Assumption!H27*Assumption!H11</f>
        <v>-15901.81796226271</v>
      </c>
      <c r="I13" s="56">
        <f>Assumption!I27*Assumption!I11</f>
        <v>-22239.868808064013</v>
      </c>
      <c r="J13" s="56">
        <f>Assumption!J27*Assumption!J11</f>
        <v>-28001.620248596286</v>
      </c>
      <c r="K13" s="56">
        <f>Assumption!K27*Assumption!K11</f>
        <v>-32717.023256502373</v>
      </c>
      <c r="L13" s="56">
        <f>Assumption!L27*Assumption!L11</f>
        <v>-36298.175580099283</v>
      </c>
    </row>
    <row r="14" spans="1:12" s="56" customFormat="1" x14ac:dyDescent="0.25">
      <c r="B14" s="59" t="s">
        <v>11</v>
      </c>
      <c r="D14" s="57"/>
      <c r="E14" s="50">
        <f>SUM(E12:E13)</f>
        <v>38791</v>
      </c>
      <c r="F14" s="50">
        <f t="shared" ref="F14:G14" si="3">SUM(F12:F13)</f>
        <v>53210</v>
      </c>
      <c r="G14" s="50">
        <f t="shared" si="3"/>
        <v>91329</v>
      </c>
      <c r="H14" s="59">
        <f>SUM(H12:H13)</f>
        <v>143116.36166036437</v>
      </c>
      <c r="I14" s="59">
        <f t="shared" ref="I14:L14" si="4">SUM(I12:I13)</f>
        <v>200158.81927257613</v>
      </c>
      <c r="J14" s="59">
        <f t="shared" si="4"/>
        <v>252014.58223736659</v>
      </c>
      <c r="K14" s="59">
        <f t="shared" si="4"/>
        <v>294453.20930852136</v>
      </c>
      <c r="L14" s="59">
        <f t="shared" si="4"/>
        <v>326683.58022089355</v>
      </c>
    </row>
    <row r="15" spans="1:12" s="56" customFormat="1" x14ac:dyDescent="0.25">
      <c r="A15" s="56" t="s">
        <v>12</v>
      </c>
      <c r="D15" s="57"/>
      <c r="E15" s="51">
        <v>14179</v>
      </c>
      <c r="F15" s="51">
        <v>20948</v>
      </c>
      <c r="G15" s="51">
        <v>30751</v>
      </c>
      <c r="H15" s="56">
        <f>Assumption!H30*'P&amp;L'!H14</f>
        <v>52281.362887440337</v>
      </c>
      <c r="I15" s="56">
        <f>Assumption!I30*'P&amp;L'!I14</f>
        <v>78061.939516304701</v>
      </c>
      <c r="J15" s="56">
        <f>Assumption!J30*'P&amp;L'!J14</f>
        <v>98285.687072572968</v>
      </c>
      <c r="K15" s="56">
        <f>Assumption!K30*'P&amp;L'!K14</f>
        <v>114836.75163032333</v>
      </c>
      <c r="L15" s="56">
        <f>Assumption!L30*'P&amp;L'!L14</f>
        <v>127406.59628614849</v>
      </c>
    </row>
    <row r="16" spans="1:12" s="56" customFormat="1" x14ac:dyDescent="0.25">
      <c r="B16" s="59" t="s">
        <v>13</v>
      </c>
      <c r="D16" s="57"/>
      <c r="E16" s="50">
        <f>E14-E15</f>
        <v>24612</v>
      </c>
      <c r="F16" s="50">
        <f t="shared" ref="F16:G16" si="5">F14-F15</f>
        <v>32262</v>
      </c>
      <c r="G16" s="50">
        <f t="shared" si="5"/>
        <v>60578</v>
      </c>
      <c r="H16" s="59">
        <f>H14-H15</f>
        <v>90834.998772924038</v>
      </c>
      <c r="I16" s="59">
        <f t="shared" ref="I16:L16" si="6">I14-I15</f>
        <v>122096.87975627143</v>
      </c>
      <c r="J16" s="59">
        <f t="shared" si="6"/>
        <v>153728.89516479362</v>
      </c>
      <c r="K16" s="59">
        <f t="shared" si="6"/>
        <v>179616.45767819803</v>
      </c>
      <c r="L16" s="59">
        <f t="shared" si="6"/>
        <v>199276.98393474508</v>
      </c>
    </row>
    <row r="17" spans="4:4" s="56" customFormat="1" x14ac:dyDescent="0.25">
      <c r="D17" s="57"/>
    </row>
    <row r="18" spans="4:4" s="56" customFormat="1" x14ac:dyDescent="0.25">
      <c r="D18" s="57"/>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7"/>
  <sheetViews>
    <sheetView showGridLines="0" workbookViewId="0">
      <selection activeCell="F17" sqref="F17"/>
    </sheetView>
  </sheetViews>
  <sheetFormatPr defaultRowHeight="14.25" x14ac:dyDescent="0.2"/>
  <cols>
    <col min="1" max="1" width="2.7109375" style="103" customWidth="1"/>
    <col min="2" max="2" width="2.85546875" style="103" customWidth="1"/>
    <col min="3" max="3" width="28.85546875" style="103" customWidth="1"/>
    <col min="4" max="16384" width="9.140625" style="103"/>
  </cols>
  <sheetData>
    <row r="2" spans="1:12" x14ac:dyDescent="0.2">
      <c r="D2" s="103" t="s">
        <v>138</v>
      </c>
      <c r="E2" s="103" t="s">
        <v>131</v>
      </c>
      <c r="F2" s="103" t="s">
        <v>132</v>
      </c>
      <c r="G2" s="103" t="s">
        <v>133</v>
      </c>
      <c r="H2" s="103" t="s">
        <v>134</v>
      </c>
      <c r="I2" s="103" t="s">
        <v>135</v>
      </c>
      <c r="J2" s="103" t="s">
        <v>136</v>
      </c>
      <c r="K2" s="103" t="s">
        <v>137</v>
      </c>
      <c r="L2" s="104"/>
    </row>
    <row r="3" spans="1:12" ht="20.25" x14ac:dyDescent="0.3">
      <c r="A3" s="105" t="s">
        <v>141</v>
      </c>
    </row>
    <row r="4" spans="1:12" x14ac:dyDescent="0.2">
      <c r="C4" s="106"/>
      <c r="D4" s="107"/>
      <c r="E4" s="107"/>
      <c r="F4" s="108"/>
      <c r="G4" s="107"/>
      <c r="H4" s="108"/>
    </row>
    <row r="5" spans="1:12" x14ac:dyDescent="0.2">
      <c r="A5" s="107"/>
      <c r="B5" s="107" t="s">
        <v>44</v>
      </c>
      <c r="C5" s="107"/>
      <c r="D5" s="86">
        <v>22440</v>
      </c>
      <c r="E5" s="86">
        <v>32111</v>
      </c>
    </row>
    <row r="6" spans="1:12" x14ac:dyDescent="0.2">
      <c r="A6" s="107"/>
      <c r="B6" s="107"/>
      <c r="C6" s="107"/>
      <c r="D6" s="102">
        <f>D5/Assumption!E23</f>
        <v>0.11480650270069256</v>
      </c>
      <c r="E6" s="102">
        <f>E5/Assumption!F23</f>
        <v>6.7974276474956102E-2</v>
      </c>
      <c r="F6" s="109">
        <f>AVERAGE(D6,E6)</f>
        <v>9.1390389587824333E-2</v>
      </c>
      <c r="G6" s="109">
        <f t="shared" ref="G6:K6" si="0">AVERAGE(E6,F6)</f>
        <v>7.9682333031390218E-2</v>
      </c>
      <c r="H6" s="109">
        <f t="shared" si="0"/>
        <v>8.5536361309607276E-2</v>
      </c>
      <c r="I6" s="109">
        <f t="shared" si="0"/>
        <v>8.2609347170498754E-2</v>
      </c>
      <c r="J6" s="109">
        <f t="shared" si="0"/>
        <v>8.4072854240053008E-2</v>
      </c>
      <c r="K6" s="109">
        <f t="shared" si="0"/>
        <v>8.3341100705275881E-2</v>
      </c>
    </row>
    <row r="7" spans="1:12" x14ac:dyDescent="0.2">
      <c r="A7" s="107"/>
      <c r="B7" s="107" t="s">
        <v>45</v>
      </c>
      <c r="C7" s="107"/>
      <c r="D7" s="86">
        <v>8449</v>
      </c>
      <c r="E7" s="86">
        <v>17365</v>
      </c>
    </row>
    <row r="8" spans="1:12" x14ac:dyDescent="0.2">
      <c r="A8" s="107"/>
      <c r="B8" s="107" t="s">
        <v>139</v>
      </c>
      <c r="C8" s="107"/>
      <c r="D8" s="102">
        <f>D7/Assumption!E23</f>
        <v>4.3226387759275911E-2</v>
      </c>
      <c r="E8" s="102">
        <f>E7/Assumption!F23</f>
        <v>3.6759157640298114E-2</v>
      </c>
      <c r="F8" s="109">
        <v>0.04</v>
      </c>
      <c r="G8" s="109">
        <v>0.04</v>
      </c>
      <c r="H8" s="109">
        <v>0.04</v>
      </c>
      <c r="I8" s="109">
        <v>0.04</v>
      </c>
      <c r="J8" s="109">
        <v>0.04</v>
      </c>
      <c r="K8" s="109">
        <v>0.04</v>
      </c>
    </row>
    <row r="9" spans="1:12" x14ac:dyDescent="0.2">
      <c r="A9" s="107"/>
      <c r="B9" s="107" t="s">
        <v>46</v>
      </c>
      <c r="C9" s="107"/>
      <c r="D9" s="86">
        <v>16958</v>
      </c>
      <c r="E9" s="86">
        <v>32155</v>
      </c>
    </row>
    <row r="10" spans="1:12" x14ac:dyDescent="0.2">
      <c r="A10" s="107"/>
      <c r="B10" s="107"/>
      <c r="C10" s="107"/>
      <c r="D10" s="102">
        <f>D9/Assumption!E23</f>
        <v>8.6759744777109835E-2</v>
      </c>
      <c r="E10" s="102">
        <f>E9/Assumption!F23</f>
        <v>6.8067418020373499E-2</v>
      </c>
      <c r="F10" s="109">
        <f>AVERAGE(D10,E10)</f>
        <v>7.741358139874166E-2</v>
      </c>
      <c r="G10" s="109">
        <f t="shared" ref="G10:K10" si="1">AVERAGE(E10,F10)</f>
        <v>7.2740499709557579E-2</v>
      </c>
      <c r="H10" s="109">
        <f t="shared" si="1"/>
        <v>7.5077040554149627E-2</v>
      </c>
      <c r="I10" s="109">
        <f t="shared" si="1"/>
        <v>7.3908770131853596E-2</v>
      </c>
      <c r="J10" s="109">
        <f t="shared" si="1"/>
        <v>7.4492905343001611E-2</v>
      </c>
      <c r="K10" s="109">
        <f t="shared" si="1"/>
        <v>7.4200837737427611E-2</v>
      </c>
    </row>
    <row r="11" spans="1:12" x14ac:dyDescent="0.2">
      <c r="B11" s="107"/>
      <c r="C11" s="106" t="s">
        <v>47</v>
      </c>
      <c r="D11" s="108">
        <f>SUM(D5:D9)</f>
        <v>47847.15803289046</v>
      </c>
      <c r="E11" s="108">
        <f>SUM(E5:E9)</f>
        <v>81631.104733434127</v>
      </c>
    </row>
    <row r="12" spans="1:12" x14ac:dyDescent="0.2">
      <c r="B12" s="107"/>
      <c r="C12" s="107"/>
      <c r="D12" s="110"/>
      <c r="E12" s="110"/>
      <c r="F12" s="109"/>
      <c r="G12" s="109"/>
      <c r="H12" s="109"/>
      <c r="I12" s="109"/>
      <c r="J12" s="109"/>
      <c r="K12" s="109"/>
    </row>
    <row r="13" spans="1:12" ht="20.25" x14ac:dyDescent="0.3">
      <c r="A13" s="105"/>
      <c r="B13" s="107"/>
      <c r="C13" s="106"/>
      <c r="D13" s="108"/>
      <c r="E13" s="108"/>
    </row>
    <row r="14" spans="1:12" ht="15" x14ac:dyDescent="0.25">
      <c r="B14" s="70"/>
      <c r="C14" s="70"/>
      <c r="D14" s="72"/>
      <c r="E14" s="86"/>
      <c r="F14" s="35"/>
      <c r="G14" s="35"/>
    </row>
    <row r="15" spans="1:12" ht="15" x14ac:dyDescent="0.25">
      <c r="B15" s="70"/>
      <c r="C15" s="70"/>
      <c r="D15" s="72"/>
      <c r="E15" s="86"/>
      <c r="F15" s="35"/>
      <c r="G15" s="35"/>
    </row>
    <row r="16" spans="1:12" ht="15" x14ac:dyDescent="0.25">
      <c r="B16" s="35"/>
      <c r="F16" s="35"/>
      <c r="G16" s="41"/>
    </row>
    <row r="17" spans="3:6" ht="15" x14ac:dyDescent="0.25">
      <c r="C17" s="69"/>
      <c r="D17" s="70"/>
      <c r="E17" s="85"/>
      <c r="F17" s="3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workbookViewId="0">
      <pane xSplit="3" ySplit="3" topLeftCell="D4" activePane="bottomRight" state="frozen"/>
      <selection pane="topRight" activeCell="D1" sqref="D1"/>
      <selection pane="bottomLeft" activeCell="A4" sqref="A4"/>
      <selection pane="bottomRight" activeCell="B1" sqref="B1"/>
    </sheetView>
  </sheetViews>
  <sheetFormatPr defaultRowHeight="15" x14ac:dyDescent="0.25"/>
  <cols>
    <col min="1" max="1" width="2.7109375" customWidth="1"/>
    <col min="2" max="2" width="2.5703125" customWidth="1"/>
    <col min="3" max="3" width="31.5703125" bestFit="1" customWidth="1"/>
    <col min="11" max="11" width="10" bestFit="1" customWidth="1"/>
  </cols>
  <sheetData>
    <row r="1" spans="1:11" ht="23.25" x14ac:dyDescent="0.35">
      <c r="A1" s="2" t="s">
        <v>69</v>
      </c>
    </row>
    <row r="3" spans="1:11" s="1" customFormat="1" x14ac:dyDescent="0.25">
      <c r="A3" s="3" t="s">
        <v>70</v>
      </c>
      <c r="B3" s="4"/>
      <c r="C3" s="4"/>
      <c r="D3" s="4"/>
      <c r="E3" s="4"/>
      <c r="F3" s="3" t="s">
        <v>72</v>
      </c>
      <c r="G3" s="3" t="s">
        <v>87</v>
      </c>
      <c r="H3" s="3" t="s">
        <v>88</v>
      </c>
      <c r="I3" s="3" t="s">
        <v>89</v>
      </c>
      <c r="J3" s="3" t="s">
        <v>107</v>
      </c>
      <c r="K3" s="3" t="s">
        <v>108</v>
      </c>
    </row>
    <row r="4" spans="1:11" x14ac:dyDescent="0.25">
      <c r="A4" s="5" t="s">
        <v>73</v>
      </c>
      <c r="B4" s="6"/>
      <c r="C4" s="6"/>
      <c r="D4" s="6"/>
      <c r="E4" s="6"/>
      <c r="F4" s="6"/>
      <c r="G4" s="6"/>
      <c r="H4" s="6"/>
    </row>
    <row r="5" spans="1:11" x14ac:dyDescent="0.25">
      <c r="A5" s="6"/>
      <c r="B5" s="6" t="s">
        <v>13</v>
      </c>
      <c r="C5" s="6"/>
      <c r="D5" s="6"/>
      <c r="E5" s="6"/>
      <c r="F5" s="61">
        <f>'P&amp;L'!G16</f>
        <v>60578</v>
      </c>
      <c r="G5" s="61">
        <f>'P&amp;L'!H16</f>
        <v>90834.998772924038</v>
      </c>
      <c r="H5" s="61">
        <f>'P&amp;L'!I16</f>
        <v>122096.87975627143</v>
      </c>
      <c r="I5" s="61">
        <f>'P&amp;L'!J16</f>
        <v>153728.89516479362</v>
      </c>
      <c r="J5" s="61">
        <f>'P&amp;L'!K16</f>
        <v>179616.45767819803</v>
      </c>
      <c r="K5" s="61">
        <f>'P&amp;L'!L16</f>
        <v>199276.98393474508</v>
      </c>
    </row>
    <row r="6" spans="1:11" x14ac:dyDescent="0.25">
      <c r="A6" s="5" t="s">
        <v>109</v>
      </c>
      <c r="B6" s="6"/>
      <c r="C6" s="6"/>
      <c r="D6" s="6"/>
      <c r="E6" s="6"/>
    </row>
    <row r="7" spans="1:11" x14ac:dyDescent="0.25">
      <c r="A7" s="6"/>
      <c r="B7" s="6" t="s">
        <v>74</v>
      </c>
      <c r="C7" s="6"/>
      <c r="D7" s="6"/>
      <c r="E7" s="6"/>
      <c r="F7" s="61">
        <f>'Balance sheet'!E7-'Balance sheet'!F7</f>
        <v>-42472</v>
      </c>
      <c r="G7" s="61">
        <f>'Balance sheet'!F7-'Balance sheet'!G7</f>
        <v>-123765.25</v>
      </c>
      <c r="H7" s="61">
        <f>'Balance sheet'!G7-'Balance sheet'!H7</f>
        <v>-151111.19905656774</v>
      </c>
      <c r="I7" s="61">
        <f>'Balance sheet'!H7-'Balance sheet'!I7</f>
        <v>-158451.2711450326</v>
      </c>
      <c r="J7" s="61">
        <f>'Balance sheet'!I7-'Balance sheet'!J7</f>
        <v>-144043.78601330682</v>
      </c>
      <c r="K7" s="61">
        <f>'Balance sheet'!J7-'Balance sheet'!K7</f>
        <v>-117885.0751976521</v>
      </c>
    </row>
    <row r="8" spans="1:11" x14ac:dyDescent="0.25">
      <c r="A8" s="6"/>
      <c r="B8" s="6" t="s">
        <v>75</v>
      </c>
      <c r="C8" s="6"/>
      <c r="D8" s="6"/>
      <c r="E8" s="6"/>
      <c r="F8" s="61">
        <f>'Balance sheet'!E8-'Balance sheet'!F8</f>
        <v>-51582</v>
      </c>
      <c r="G8" s="61">
        <f>'Balance sheet'!F8-'Balance sheet'!G8</f>
        <v>-120057.60605231288</v>
      </c>
      <c r="H8" s="61">
        <f>'Balance sheet'!G8-'Balance sheet'!H8</f>
        <v>-149592.02504199214</v>
      </c>
      <c r="I8" s="61">
        <f>'Balance sheet'!H8-'Balance sheet'!I8</f>
        <v>-152113.2202992313</v>
      </c>
      <c r="J8" s="61">
        <f>'Balance sheet'!I8-'Balance sheet'!J8</f>
        <v>-138282.03457277454</v>
      </c>
      <c r="K8" s="61">
        <f>'Balance sheet'!J8-'Balance sheet'!K8</f>
        <v>-113169.67218974605</v>
      </c>
    </row>
    <row r="9" spans="1:11" x14ac:dyDescent="0.25">
      <c r="A9" s="6"/>
      <c r="B9" s="6" t="s">
        <v>110</v>
      </c>
      <c r="C9" s="6"/>
      <c r="D9" s="6"/>
      <c r="E9" s="6"/>
      <c r="F9" s="61">
        <f>'Balance sheet'!E9-'Balance sheet'!F9</f>
        <v>-243</v>
      </c>
      <c r="G9" s="61">
        <f>'Balance sheet'!F9-'Balance sheet'!G9</f>
        <v>-33</v>
      </c>
      <c r="H9" s="61">
        <f>'Balance sheet'!G9-'Balance sheet'!H9</f>
        <v>-1000</v>
      </c>
      <c r="I9" s="61">
        <f>'Balance sheet'!H9-'Balance sheet'!I9</f>
        <v>0</v>
      </c>
      <c r="J9" s="61">
        <f>'Balance sheet'!I9-'Balance sheet'!J9</f>
        <v>0</v>
      </c>
      <c r="K9" s="61">
        <f>'Balance sheet'!J9-'Balance sheet'!K9</f>
        <v>0</v>
      </c>
    </row>
    <row r="10" spans="1:11" x14ac:dyDescent="0.25">
      <c r="A10" s="6"/>
      <c r="B10" s="6" t="s">
        <v>112</v>
      </c>
      <c r="C10" s="6"/>
      <c r="D10" s="6"/>
      <c r="E10" s="6"/>
      <c r="F10" s="61">
        <f>'Balance sheet'!F20-'Balance sheet'!E20</f>
        <v>72677</v>
      </c>
      <c r="G10" s="61">
        <f>'Balance sheet'!G20-'Balance sheet'!F20</f>
        <v>120011.25</v>
      </c>
      <c r="H10" s="61">
        <f>'Balance sheet'!H20-'Balance sheet'!G20</f>
        <v>151111.19905656774</v>
      </c>
      <c r="I10" s="61">
        <f>'Balance sheet'!I20-'Balance sheet'!H20</f>
        <v>158451.2711450326</v>
      </c>
      <c r="J10" s="61">
        <f>'Balance sheet'!J20-'Balance sheet'!I20</f>
        <v>144043.78601330682</v>
      </c>
      <c r="K10" s="61">
        <f>'Balance sheet'!K20-'Balance sheet'!J20</f>
        <v>117885.0751976521</v>
      </c>
    </row>
    <row r="11" spans="1:11" x14ac:dyDescent="0.25">
      <c r="A11" s="6"/>
      <c r="B11" s="6" t="s">
        <v>111</v>
      </c>
      <c r="C11" s="6"/>
      <c r="D11" s="6"/>
      <c r="E11" s="6"/>
      <c r="F11" s="61">
        <f>'Balance sheet'!F21-'Balance sheet'!E21</f>
        <v>37677</v>
      </c>
      <c r="G11" s="61">
        <f>'Balance sheet'!G21-'Balance sheet'!F21</f>
        <v>61469.549999999988</v>
      </c>
      <c r="H11" s="61">
        <f>'Balance sheet'!H21-'Balance sheet'!G21</f>
        <v>90666.719433940656</v>
      </c>
      <c r="I11" s="61">
        <f>'Balance sheet'!I21-'Balance sheet'!H21</f>
        <v>95070.762687019538</v>
      </c>
      <c r="J11" s="61">
        <f>'Balance sheet'!J21-'Balance sheet'!I21</f>
        <v>86426.27160798409</v>
      </c>
      <c r="K11" s="61">
        <f>'Balance sheet'!K21-'Balance sheet'!J21</f>
        <v>70731.045118591283</v>
      </c>
    </row>
    <row r="12" spans="1:11" x14ac:dyDescent="0.25">
      <c r="A12" s="6"/>
      <c r="B12" s="6" t="s">
        <v>52</v>
      </c>
      <c r="C12" s="6"/>
      <c r="D12" s="6"/>
      <c r="E12" s="6"/>
      <c r="F12" s="61">
        <f>'Balance sheet'!F22-'Balance sheet'!E22</f>
        <v>401</v>
      </c>
      <c r="G12" s="61">
        <f>'Balance sheet'!G22-'Balance sheet'!F22</f>
        <v>219</v>
      </c>
      <c r="H12" s="61">
        <f>'Balance sheet'!H22-'Balance sheet'!G22</f>
        <v>0</v>
      </c>
      <c r="I12" s="61">
        <f>'Balance sheet'!I22-'Balance sheet'!H22</f>
        <v>0</v>
      </c>
      <c r="J12" s="61">
        <f>'Balance sheet'!J22-'Balance sheet'!I22</f>
        <v>0</v>
      </c>
      <c r="K12" s="61">
        <f>'Balance sheet'!K22-'Balance sheet'!J22</f>
        <v>0</v>
      </c>
    </row>
    <row r="13" spans="1:11" x14ac:dyDescent="0.25">
      <c r="A13" s="6"/>
      <c r="B13" s="6" t="s">
        <v>53</v>
      </c>
      <c r="C13" s="6"/>
      <c r="D13" s="6"/>
      <c r="E13" s="6"/>
      <c r="F13" s="61">
        <f>'Balance sheet'!F23-'Balance sheet'!E23</f>
        <v>16124</v>
      </c>
      <c r="G13" s="61">
        <f>'Balance sheet'!G23-'Balance sheet'!F23</f>
        <v>29584.850000000006</v>
      </c>
      <c r="H13" s="61">
        <f>'Balance sheet'!H23-'Balance sheet'!G23</f>
        <v>30222.239811313542</v>
      </c>
      <c r="I13" s="61">
        <f>'Balance sheet'!I23-'Balance sheet'!H23</f>
        <v>31690.254229006532</v>
      </c>
      <c r="J13" s="61">
        <f>'Balance sheet'!J23-'Balance sheet'!I23</f>
        <v>28808.757202661363</v>
      </c>
      <c r="K13" s="61">
        <f>'Balance sheet'!K23-'Balance sheet'!J23</f>
        <v>23577.015039530408</v>
      </c>
    </row>
    <row r="14" spans="1:11" x14ac:dyDescent="0.25">
      <c r="A14" s="6"/>
      <c r="B14" s="6" t="s">
        <v>115</v>
      </c>
      <c r="F14" s="61">
        <f>'Balance sheet'!F24-'Balance sheet'!E24</f>
        <v>44515</v>
      </c>
      <c r="G14" s="61">
        <f>'Balance sheet'!G24-'Balance sheet'!F24</f>
        <v>57991.44</v>
      </c>
      <c r="H14" s="61">
        <f>'Balance sheet'!H24-'Balance sheet'!G24</f>
        <v>72533.375547152507</v>
      </c>
      <c r="I14" s="61">
        <f>'Balance sheet'!I24-'Balance sheet'!H24</f>
        <v>76056.610149615648</v>
      </c>
      <c r="J14" s="61">
        <f>'Balance sheet'!J24-'Balance sheet'!I24</f>
        <v>69141.017286387272</v>
      </c>
      <c r="K14" s="61">
        <f>'Balance sheet'!K24-'Balance sheet'!J24</f>
        <v>56584.836094873026</v>
      </c>
    </row>
    <row r="15" spans="1:11" x14ac:dyDescent="0.25">
      <c r="A15" s="6"/>
      <c r="B15" s="6"/>
      <c r="C15" s="5" t="s">
        <v>76</v>
      </c>
      <c r="D15" s="6"/>
      <c r="E15" s="6"/>
      <c r="F15" s="61">
        <f t="shared" ref="F15:K15" si="0">SUM(F5:F14)</f>
        <v>137675</v>
      </c>
      <c r="G15" s="61">
        <f t="shared" si="0"/>
        <v>116255.23272061115</v>
      </c>
      <c r="H15" s="61">
        <f t="shared" si="0"/>
        <v>164927.189506686</v>
      </c>
      <c r="I15" s="61">
        <f t="shared" si="0"/>
        <v>204433.30193120404</v>
      </c>
      <c r="J15" s="61">
        <f t="shared" si="0"/>
        <v>225710.46920245621</v>
      </c>
      <c r="K15" s="61">
        <f t="shared" si="0"/>
        <v>237000.20799799374</v>
      </c>
    </row>
    <row r="16" spans="1:11" x14ac:dyDescent="0.25">
      <c r="A16" s="6"/>
      <c r="B16" s="6"/>
      <c r="C16" s="6"/>
      <c r="D16" s="6"/>
      <c r="E16" s="6"/>
    </row>
    <row r="17" spans="1:11" x14ac:dyDescent="0.25">
      <c r="A17" s="5" t="s">
        <v>77</v>
      </c>
      <c r="B17" s="6"/>
      <c r="C17" s="6"/>
      <c r="D17" s="6"/>
      <c r="E17" s="6"/>
    </row>
    <row r="18" spans="1:11" x14ac:dyDescent="0.25">
      <c r="A18" s="5"/>
      <c r="B18" s="6" t="s">
        <v>116</v>
      </c>
      <c r="C18" s="6"/>
      <c r="D18" s="6"/>
      <c r="E18" s="6"/>
      <c r="F18" s="61">
        <f>'Balance sheet'!E13-'Balance sheet'!F13</f>
        <v>-8916</v>
      </c>
      <c r="G18" s="61">
        <f>'Balance sheet'!F13-'Balance sheet'!G13</f>
        <v>-40397.537635814791</v>
      </c>
      <c r="H18" s="61">
        <f>'Balance sheet'!G13-'Balance sheet'!H13</f>
        <v>-25587.406060360765</v>
      </c>
      <c r="I18" s="61">
        <f>'Balance sheet'!H13-'Balance sheet'!I13</f>
        <v>-21491.485406131542</v>
      </c>
      <c r="J18" s="61">
        <f>'Balance sheet'!I13-'Balance sheet'!J13</f>
        <v>-17349.456641579338</v>
      </c>
      <c r="K18" s="61">
        <f>'Balance sheet'!J13-'Balance sheet'!K13</f>
        <v>-13645.012269285013</v>
      </c>
    </row>
    <row r="19" spans="1:11" x14ac:dyDescent="0.25">
      <c r="A19" s="6"/>
      <c r="B19" s="6" t="s">
        <v>78</v>
      </c>
      <c r="C19" s="6"/>
      <c r="D19" s="6"/>
      <c r="E19" s="6"/>
      <c r="F19" s="61">
        <f>'Balance sheet'!E12-'Balance sheet'!F12</f>
        <v>-9671</v>
      </c>
      <c r="G19" s="61">
        <f>'Balance sheet'!F12-'Balance sheet'!G12</f>
        <v>-82955.344015880139</v>
      </c>
      <c r="H19" s="61">
        <f>'Balance sheet'!G12-'Balance sheet'!H12</f>
        <v>-63169.928462407261</v>
      </c>
      <c r="I19" s="61">
        <f>'Balance sheet'!H12-'Balance sheet'!I12</f>
        <v>-38285.777885805554</v>
      </c>
      <c r="J19" s="61">
        <f>'Balance sheet'!I12-'Balance sheet'!J12</f>
        <v>-40301.362801125448</v>
      </c>
      <c r="K19" s="61">
        <f>'Balance sheet'!J12-'Balance sheet'!K12</f>
        <v>-26194.418227464223</v>
      </c>
    </row>
    <row r="20" spans="1:11" x14ac:dyDescent="0.25">
      <c r="A20" s="6"/>
      <c r="B20" s="6" t="s">
        <v>79</v>
      </c>
      <c r="C20" s="6"/>
      <c r="D20" s="6"/>
      <c r="E20" s="6"/>
      <c r="F20" s="61">
        <f>'Balance sheet'!E14-'Balance sheet'!F14</f>
        <v>-15197</v>
      </c>
      <c r="G20" s="61">
        <f>'Balance sheet'!F14-'Balance sheet'!G14</f>
        <v>-72886.896303032365</v>
      </c>
      <c r="H20" s="61">
        <f>'Balance sheet'!G14-'Balance sheet'!H14</f>
        <v>-51399.781273564135</v>
      </c>
      <c r="I20" s="61">
        <f>'Balance sheet'!H14-'Balance sheet'!I14</f>
        <v>-37275.849518839532</v>
      </c>
      <c r="J20" s="61">
        <f>'Balance sheet'!I14-'Balance sheet'!J14</f>
        <v>-33841.325041985401</v>
      </c>
      <c r="K20" s="61">
        <f>'Balance sheet'!J14-'Balance sheet'!K14</f>
        <v>-24419.583547406073</v>
      </c>
    </row>
    <row r="21" spans="1:11" x14ac:dyDescent="0.25">
      <c r="A21" s="6"/>
      <c r="B21" s="6"/>
      <c r="C21" s="5" t="s">
        <v>80</v>
      </c>
      <c r="D21" s="6"/>
      <c r="E21" s="6"/>
      <c r="F21" s="61">
        <f>SUM(F18:F20)</f>
        <v>-33784</v>
      </c>
      <c r="G21" s="61">
        <f t="shared" ref="G21:J21" si="1">SUM(G18:G20)</f>
        <v>-196239.77795472729</v>
      </c>
      <c r="H21" s="61">
        <f t="shared" si="1"/>
        <v>-140157.11579633216</v>
      </c>
      <c r="I21" s="61">
        <f t="shared" si="1"/>
        <v>-97053.112810776627</v>
      </c>
      <c r="J21" s="61">
        <f t="shared" si="1"/>
        <v>-91492.144484690187</v>
      </c>
      <c r="K21" s="61">
        <f t="shared" ref="K21" si="2">SUM(K18:K20)</f>
        <v>-64259.014044155309</v>
      </c>
    </row>
    <row r="22" spans="1:11" x14ac:dyDescent="0.25">
      <c r="A22" s="6"/>
      <c r="B22" s="6"/>
      <c r="C22" s="6"/>
      <c r="D22" s="6"/>
      <c r="E22" s="6"/>
    </row>
    <row r="23" spans="1:11" x14ac:dyDescent="0.25">
      <c r="A23" s="5" t="s">
        <v>81</v>
      </c>
      <c r="B23" s="6"/>
      <c r="C23" s="6"/>
      <c r="D23" s="6"/>
      <c r="E23" s="6"/>
    </row>
    <row r="24" spans="1:11" x14ac:dyDescent="0.25">
      <c r="A24" s="5"/>
      <c r="B24" s="6" t="s">
        <v>123</v>
      </c>
      <c r="C24" s="6"/>
      <c r="D24" s="6"/>
      <c r="E24" s="6"/>
      <c r="F24" s="61">
        <f>'Balance sheet'!F36-'Balance sheet'!E36</f>
        <v>14039</v>
      </c>
      <c r="G24" s="61">
        <f>'Balance sheet'!G36-'Balance sheet'!F36</f>
        <v>4708</v>
      </c>
      <c r="H24" s="61">
        <f>'Balance sheet'!H36-'Balance sheet'!G36</f>
        <v>6235.5853893866297</v>
      </c>
      <c r="I24" s="61">
        <f>'Balance sheet'!I36-'Balance sheet'!H36</f>
        <v>8258.8201249643171</v>
      </c>
      <c r="J24" s="61">
        <f>'Balance sheet'!J36-'Balance sheet'!I36</f>
        <v>10938.525510790096</v>
      </c>
      <c r="K24" s="61">
        <f>'Balance sheet'!K36-'Balance sheet'!J36</f>
        <v>14487.703877764579</v>
      </c>
    </row>
    <row r="25" spans="1:11" x14ac:dyDescent="0.25">
      <c r="A25" s="5"/>
      <c r="B25" s="6" t="s">
        <v>125</v>
      </c>
      <c r="C25" s="6"/>
      <c r="D25" s="6"/>
      <c r="E25" s="6"/>
      <c r="F25" s="61">
        <f>'Balance sheet'!F39</f>
        <v>-242</v>
      </c>
      <c r="G25" s="61">
        <f>'Balance sheet'!G39</f>
        <v>0</v>
      </c>
      <c r="H25" s="61">
        <f>'Balance sheet'!H39</f>
        <v>0</v>
      </c>
      <c r="I25" s="61">
        <f>'Balance sheet'!I39</f>
        <v>0</v>
      </c>
      <c r="J25" s="61">
        <f>'Balance sheet'!J39</f>
        <v>0</v>
      </c>
      <c r="K25" s="61">
        <f>'Balance sheet'!K39</f>
        <v>0</v>
      </c>
    </row>
    <row r="26" spans="1:11" x14ac:dyDescent="0.25">
      <c r="A26" s="5"/>
      <c r="B26" s="6" t="s">
        <v>124</v>
      </c>
      <c r="C26" s="6"/>
      <c r="D26" s="6"/>
      <c r="E26" s="6"/>
      <c r="F26" s="61">
        <f>'Balance sheet'!F33-'Balance sheet'!E33</f>
        <v>60</v>
      </c>
      <c r="G26" s="61">
        <f>'Balance sheet'!G33-'Balance sheet'!F33</f>
        <v>60.046669605129864</v>
      </c>
      <c r="H26" s="61">
        <f>'Balance sheet'!H33-'Balance sheet'!G33</f>
        <v>60.093375511118211</v>
      </c>
      <c r="I26" s="61">
        <f>'Balance sheet'!I33-'Balance sheet'!H33</f>
        <v>60.140117746210308</v>
      </c>
      <c r="J26" s="61">
        <f>'Balance sheet'!J33-'Balance sheet'!I33</f>
        <v>60.186896338665974</v>
      </c>
      <c r="K26" s="61">
        <f>'Balance sheet'!K33-'Balance sheet'!J33</f>
        <v>60.233711316759582</v>
      </c>
    </row>
    <row r="27" spans="1:11" x14ac:dyDescent="0.25">
      <c r="A27" s="6"/>
      <c r="B27" s="6" t="s">
        <v>113</v>
      </c>
      <c r="C27" s="6"/>
      <c r="D27" s="6"/>
      <c r="E27" s="6"/>
      <c r="F27" s="61">
        <f>'Balance sheet'!F28-'Balance sheet'!E28</f>
        <v>-60298</v>
      </c>
      <c r="G27" s="61">
        <f>'Balance sheet'!G28-'Balance sheet'!F28</f>
        <v>42662.947521404538</v>
      </c>
      <c r="H27" s="61">
        <f>'Balance sheet'!H28-'Balance sheet'!G28</f>
        <v>-22226.521913552657</v>
      </c>
      <c r="I27" s="61">
        <f>'Balance sheet'!I28-'Balance sheet'!H28</f>
        <v>14268.653622251062</v>
      </c>
      <c r="J27" s="61">
        <f>'Balance sheet'!J28-'Balance sheet'!I28</f>
        <v>-77408.614288471596</v>
      </c>
      <c r="K27" s="61">
        <f>'Balance sheet'!K28-'Balance sheet'!J28</f>
        <v>2052.9951309941662</v>
      </c>
    </row>
    <row r="28" spans="1:11" x14ac:dyDescent="0.25">
      <c r="A28" s="6"/>
      <c r="B28" s="6" t="s">
        <v>114</v>
      </c>
      <c r="C28" s="6"/>
      <c r="D28" s="6"/>
      <c r="E28" s="6"/>
      <c r="F28" s="61">
        <f>'Balance sheet'!F29-'Balance sheet'!E29</f>
        <v>7475</v>
      </c>
      <c r="G28" s="61">
        <f>'Balance sheet'!G29-'Balance sheet'!F29</f>
        <v>-8476.9475214045378</v>
      </c>
      <c r="H28" s="61">
        <f>'Balance sheet'!H29-'Balance sheet'!G29</f>
        <v>13816.521913552653</v>
      </c>
      <c r="I28" s="61">
        <f>'Balance sheet'!I29-'Balance sheet'!H29</f>
        <v>-14268.653622251057</v>
      </c>
      <c r="J28" s="61">
        <f>'Balance sheet'!J29-'Balance sheet'!I29</f>
        <v>-2228.3857115284068</v>
      </c>
      <c r="K28" s="61">
        <f>'Balance sheet'!K29-'Balance sheet'!J29</f>
        <v>-2052.9951309941639</v>
      </c>
    </row>
    <row r="29" spans="1:11" x14ac:dyDescent="0.25">
      <c r="A29" s="6"/>
      <c r="B29" s="70" t="s">
        <v>23</v>
      </c>
      <c r="C29" s="6"/>
      <c r="D29" s="6"/>
      <c r="E29" s="6"/>
      <c r="F29" s="61">
        <v>0</v>
      </c>
      <c r="G29" s="61">
        <v>0</v>
      </c>
      <c r="H29" s="61">
        <v>0</v>
      </c>
      <c r="I29" s="61">
        <v>0</v>
      </c>
      <c r="J29" s="61">
        <v>0</v>
      </c>
      <c r="K29" s="61">
        <v>0</v>
      </c>
    </row>
    <row r="30" spans="1:11" x14ac:dyDescent="0.25">
      <c r="A30" s="6"/>
      <c r="B30" s="70" t="s">
        <v>29</v>
      </c>
      <c r="C30" s="6"/>
      <c r="D30" s="6"/>
      <c r="E30" s="6"/>
      <c r="F30" s="61">
        <v>0</v>
      </c>
      <c r="G30" s="61">
        <v>0</v>
      </c>
      <c r="H30" s="61">
        <v>0</v>
      </c>
      <c r="I30" s="61">
        <v>0</v>
      </c>
      <c r="J30" s="61">
        <v>0</v>
      </c>
      <c r="K30" s="61">
        <v>0</v>
      </c>
    </row>
    <row r="31" spans="1:11" x14ac:dyDescent="0.25">
      <c r="A31" s="6"/>
      <c r="B31" s="6"/>
      <c r="C31" s="5" t="s">
        <v>82</v>
      </c>
      <c r="D31" s="6"/>
      <c r="E31" s="6"/>
      <c r="F31" s="61">
        <f>SUM(F24:F30)</f>
        <v>-38966</v>
      </c>
      <c r="G31" s="61">
        <f t="shared" ref="G31:J31" si="3">SUM(G24:G30)</f>
        <v>38954.04666960513</v>
      </c>
      <c r="H31" s="61">
        <f t="shared" si="3"/>
        <v>-2114.3212351022557</v>
      </c>
      <c r="I31" s="61">
        <f t="shared" si="3"/>
        <v>8318.9602427105328</v>
      </c>
      <c r="J31" s="61">
        <f t="shared" si="3"/>
        <v>-68638.287592871246</v>
      </c>
      <c r="K31" s="61">
        <f t="shared" ref="K31" si="4">SUM(K24:K30)</f>
        <v>14547.937589081343</v>
      </c>
    </row>
    <row r="32" spans="1:11" x14ac:dyDescent="0.25">
      <c r="A32" s="6"/>
      <c r="B32" s="6"/>
      <c r="C32" s="6"/>
      <c r="D32" s="6"/>
      <c r="E32" s="6"/>
    </row>
    <row r="33" spans="1:11" x14ac:dyDescent="0.25">
      <c r="A33" s="6"/>
      <c r="B33" s="6"/>
      <c r="C33" s="5" t="s">
        <v>83</v>
      </c>
      <c r="D33" s="6"/>
      <c r="E33" s="6"/>
      <c r="F33" s="61">
        <f>F15+F21+F31</f>
        <v>64925</v>
      </c>
      <c r="G33" s="61">
        <f t="shared" ref="G33:J33" si="5">G15+G21+G31</f>
        <v>-41030.498564511014</v>
      </c>
      <c r="H33" s="61">
        <f t="shared" si="5"/>
        <v>22655.752475251586</v>
      </c>
      <c r="I33" s="61">
        <f t="shared" si="5"/>
        <v>115699.14936313794</v>
      </c>
      <c r="J33" s="61">
        <f t="shared" si="5"/>
        <v>65580.037124894778</v>
      </c>
      <c r="K33" s="61">
        <f t="shared" ref="K33" si="6">K15+K21+K31</f>
        <v>187289.13154291979</v>
      </c>
    </row>
    <row r="34" spans="1:11" x14ac:dyDescent="0.25">
      <c r="A34" s="6"/>
      <c r="B34" s="6"/>
      <c r="C34" s="5" t="s">
        <v>84</v>
      </c>
      <c r="D34" s="6"/>
      <c r="E34" s="6"/>
      <c r="F34" s="61">
        <f>E35</f>
        <v>36485</v>
      </c>
      <c r="G34" s="61">
        <f t="shared" ref="G34:K34" si="7">F35</f>
        <v>101410</v>
      </c>
      <c r="H34" s="61">
        <f t="shared" si="7"/>
        <v>60379.501435488986</v>
      </c>
      <c r="I34" s="61">
        <f t="shared" si="7"/>
        <v>83035.253910740576</v>
      </c>
      <c r="J34" s="61">
        <f t="shared" si="7"/>
        <v>198734.4032738785</v>
      </c>
      <c r="K34" s="61">
        <f t="shared" si="7"/>
        <v>264314.44039877329</v>
      </c>
    </row>
    <row r="35" spans="1:11" x14ac:dyDescent="0.25">
      <c r="A35" s="6"/>
      <c r="B35" s="6"/>
      <c r="C35" s="5" t="s">
        <v>85</v>
      </c>
      <c r="D35" s="6"/>
      <c r="E35" s="61">
        <f>'Balance sheet'!E6</f>
        <v>36485</v>
      </c>
      <c r="F35" s="61">
        <f>SUM(F33:F34)</f>
        <v>101410</v>
      </c>
      <c r="G35" s="61">
        <f t="shared" ref="G35:J35" si="8">SUM(G33:G34)</f>
        <v>60379.501435488986</v>
      </c>
      <c r="H35" s="61">
        <f t="shared" si="8"/>
        <v>83035.253910740576</v>
      </c>
      <c r="I35" s="61">
        <f t="shared" si="8"/>
        <v>198734.4032738785</v>
      </c>
      <c r="J35" s="61">
        <f t="shared" si="8"/>
        <v>264314.44039877329</v>
      </c>
      <c r="K35" s="61">
        <f t="shared" ref="K35" si="9">SUM(K33:K34)</f>
        <v>451603.57194169308</v>
      </c>
    </row>
    <row r="36" spans="1:11" x14ac:dyDescent="0.25">
      <c r="A36" s="6"/>
      <c r="B36" s="6"/>
      <c r="D36" s="5"/>
      <c r="E36" s="5"/>
      <c r="F36" s="61"/>
      <c r="G36" s="5"/>
      <c r="H36" s="5"/>
      <c r="I36" s="5"/>
      <c r="J36" s="5"/>
    </row>
    <row r="37" spans="1:11" x14ac:dyDescent="0.25">
      <c r="A37" s="6"/>
      <c r="B37" s="6"/>
      <c r="C37" s="6"/>
      <c r="D37" s="6"/>
      <c r="E37" s="6"/>
      <c r="F37" s="6"/>
      <c r="G37" s="6"/>
      <c r="H37" s="6"/>
    </row>
    <row r="38" spans="1:11" x14ac:dyDescent="0.25">
      <c r="A38" s="6"/>
      <c r="B38" s="6"/>
      <c r="C38" s="6"/>
      <c r="D38" s="6"/>
      <c r="E38" s="6"/>
      <c r="F38" s="6"/>
      <c r="G38" s="6"/>
      <c r="H38" s="6"/>
    </row>
    <row r="39" spans="1:11" x14ac:dyDescent="0.25">
      <c r="A39" s="6"/>
      <c r="B39" s="6"/>
      <c r="C39" s="6"/>
      <c r="D39" s="6"/>
      <c r="E39" s="6"/>
      <c r="F39" s="6"/>
      <c r="G39" s="6"/>
      <c r="H39" s="6"/>
    </row>
    <row r="40" spans="1:11" x14ac:dyDescent="0.25">
      <c r="F40" s="61"/>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showGridLines="0" topLeftCell="A2" workbookViewId="0">
      <pane ySplit="3" topLeftCell="A39" activePane="bottomLeft" state="frozen"/>
      <selection activeCell="A2" sqref="A2"/>
      <selection pane="bottomLeft" activeCell="E57" sqref="E57"/>
    </sheetView>
  </sheetViews>
  <sheetFormatPr defaultRowHeight="15" x14ac:dyDescent="0.25"/>
  <cols>
    <col min="1" max="1" width="2.5703125" style="56" customWidth="1"/>
    <col min="2" max="2" width="2.140625" style="56" customWidth="1"/>
    <col min="3" max="3" width="18.42578125" style="56" customWidth="1"/>
    <col min="4" max="4" width="16.5703125" style="57" customWidth="1"/>
    <col min="5" max="6" width="9.140625" style="56"/>
    <col min="7" max="7" width="10" style="56" bestFit="1" customWidth="1"/>
    <col min="8" max="10" width="9.140625" style="56"/>
    <col min="11" max="11" width="7" style="56" bestFit="1" customWidth="1"/>
    <col min="12" max="14" width="9.140625" style="56"/>
    <col min="15" max="15" width="11" style="56" bestFit="1" customWidth="1"/>
    <col min="16" max="16384" width="9.140625" style="56"/>
  </cols>
  <sheetData>
    <row r="1" spans="1:11" ht="23.25" x14ac:dyDescent="0.35">
      <c r="A1" s="63"/>
    </row>
    <row r="2" spans="1:11" ht="23.25" x14ac:dyDescent="0.35">
      <c r="A2" s="64" t="s">
        <v>34</v>
      </c>
    </row>
    <row r="3" spans="1:11" x14ac:dyDescent="0.25">
      <c r="G3" s="65"/>
      <c r="I3" s="65"/>
    </row>
    <row r="4" spans="1:11" s="116" customFormat="1" x14ac:dyDescent="0.25">
      <c r="A4" s="66" t="s">
        <v>35</v>
      </c>
      <c r="B4" s="67"/>
      <c r="C4" s="67"/>
      <c r="D4" s="68"/>
      <c r="E4" s="66" t="s">
        <v>94</v>
      </c>
      <c r="F4" s="66" t="s">
        <v>95</v>
      </c>
      <c r="G4" s="66" t="s">
        <v>87</v>
      </c>
      <c r="H4" s="66" t="s">
        <v>88</v>
      </c>
      <c r="I4" s="66" t="s">
        <v>89</v>
      </c>
      <c r="J4" s="66" t="s">
        <v>107</v>
      </c>
      <c r="K4" s="66" t="s">
        <v>108</v>
      </c>
    </row>
    <row r="5" spans="1:11" x14ac:dyDescent="0.25">
      <c r="A5" s="69" t="s">
        <v>37</v>
      </c>
      <c r="B5" s="70"/>
      <c r="C5" s="70"/>
      <c r="D5" s="71"/>
      <c r="E5" s="70"/>
      <c r="F5" s="70"/>
      <c r="G5" s="70"/>
      <c r="H5" s="70"/>
    </row>
    <row r="6" spans="1:11" x14ac:dyDescent="0.25">
      <c r="A6" s="70"/>
      <c r="B6" s="70" t="s">
        <v>38</v>
      </c>
      <c r="C6" s="70"/>
      <c r="D6" s="71"/>
      <c r="E6" s="117">
        <v>36485</v>
      </c>
      <c r="F6" s="70">
        <f>'Cash Flow Statements'!F35</f>
        <v>101410</v>
      </c>
      <c r="G6" s="70">
        <f>'Cash Flow Statements'!G35</f>
        <v>60379.501435488986</v>
      </c>
      <c r="H6" s="70">
        <f>'Cash Flow Statements'!H35</f>
        <v>83035.253910740576</v>
      </c>
      <c r="I6" s="70">
        <f>'Cash Flow Statements'!I35</f>
        <v>198734.4032738785</v>
      </c>
      <c r="J6" s="70">
        <f>'Cash Flow Statements'!J35</f>
        <v>264314.44039877329</v>
      </c>
      <c r="K6" s="70">
        <f>'Cash Flow Statements'!K35</f>
        <v>451603.57194169308</v>
      </c>
    </row>
    <row r="7" spans="1:11" x14ac:dyDescent="0.25">
      <c r="A7" s="70"/>
      <c r="B7" s="70" t="s">
        <v>39</v>
      </c>
      <c r="C7" s="70"/>
      <c r="D7" s="71"/>
      <c r="E7" s="70">
        <v>80197</v>
      </c>
      <c r="F7" s="70">
        <v>122669</v>
      </c>
      <c r="G7" s="70">
        <f>Assumption!G51*Assumption!G11</f>
        <v>246434.25</v>
      </c>
      <c r="H7" s="70">
        <f>Assumption!H51*Assumption!H11</f>
        <v>397545.44905656774</v>
      </c>
      <c r="I7" s="70">
        <f>Assumption!I51*Assumption!I11</f>
        <v>555996.72020160034</v>
      </c>
      <c r="J7" s="70">
        <f>Assumption!J51*Assumption!J11</f>
        <v>700040.50621490716</v>
      </c>
      <c r="K7" s="70">
        <f>Assumption!K51*Assumption!K11</f>
        <v>817925.58141255926</v>
      </c>
    </row>
    <row r="8" spans="1:11" x14ac:dyDescent="0.25">
      <c r="A8" s="70"/>
      <c r="B8" s="70" t="s">
        <v>40</v>
      </c>
      <c r="C8" s="70"/>
      <c r="D8" s="71"/>
      <c r="E8" s="70">
        <v>60412</v>
      </c>
      <c r="F8" s="70">
        <v>111994</v>
      </c>
      <c r="G8" s="70">
        <f>Assumption!G53*Assumption!G11</f>
        <v>232051.60605231288</v>
      </c>
      <c r="H8" s="70">
        <f>Assumption!H53*Assumption!H11</f>
        <v>381643.63109430502</v>
      </c>
      <c r="I8" s="70">
        <f>Assumption!I53*Assumption!I11</f>
        <v>533756.85139353632</v>
      </c>
      <c r="J8" s="70">
        <f>Assumption!J53*Assumption!J11</f>
        <v>672038.88596631086</v>
      </c>
      <c r="K8" s="70">
        <f>Assumption!K53*Assumption!K11</f>
        <v>785208.55815605691</v>
      </c>
    </row>
    <row r="9" spans="1:11" x14ac:dyDescent="0.25">
      <c r="A9" s="70"/>
      <c r="B9" s="70" t="s">
        <v>41</v>
      </c>
      <c r="C9" s="70"/>
      <c r="D9" s="71"/>
      <c r="E9" s="70">
        <v>21724</v>
      </c>
      <c r="F9" s="70">
        <v>21967</v>
      </c>
      <c r="G9" s="70">
        <f>Assumption!G54</f>
        <v>22000</v>
      </c>
      <c r="H9" s="70">
        <f>Assumption!H54</f>
        <v>23000</v>
      </c>
      <c r="I9" s="70">
        <f>Assumption!I54</f>
        <v>23000</v>
      </c>
      <c r="J9" s="70">
        <f>Assumption!J54</f>
        <v>23000</v>
      </c>
      <c r="K9" s="70">
        <f>Assumption!K54</f>
        <v>23000</v>
      </c>
    </row>
    <row r="10" spans="1:11" x14ac:dyDescent="0.25">
      <c r="A10" s="70"/>
      <c r="B10" s="70"/>
      <c r="C10" s="69" t="s">
        <v>42</v>
      </c>
      <c r="D10" s="71"/>
      <c r="E10" s="70">
        <f>SUM(E6:E9)</f>
        <v>198818</v>
      </c>
      <c r="F10" s="70">
        <f>SUM(F6:F9)</f>
        <v>358040</v>
      </c>
      <c r="G10" s="70">
        <f t="shared" ref="G10" si="0">SUM(G6:G9)</f>
        <v>560865.35748780193</v>
      </c>
      <c r="H10" s="70">
        <f t="shared" ref="H10:J10" si="1">SUM(H6:H9)</f>
        <v>885224.33406161331</v>
      </c>
      <c r="I10" s="70">
        <f t="shared" si="1"/>
        <v>1311487.9748690152</v>
      </c>
      <c r="J10" s="70">
        <f t="shared" si="1"/>
        <v>1659393.8325799913</v>
      </c>
      <c r="K10" s="70">
        <f t="shared" ref="K10" si="2">SUM(K6:K9)</f>
        <v>2077737.711510309</v>
      </c>
    </row>
    <row r="11" spans="1:11" x14ac:dyDescent="0.25">
      <c r="A11" s="69" t="s">
        <v>43</v>
      </c>
      <c r="B11" s="70"/>
      <c r="C11" s="70"/>
      <c r="D11" s="71"/>
      <c r="E11" s="70"/>
      <c r="F11" s="70"/>
      <c r="G11" s="70"/>
      <c r="H11" s="70"/>
      <c r="I11" s="70"/>
      <c r="J11" s="70"/>
      <c r="K11" s="70"/>
    </row>
    <row r="12" spans="1:11" x14ac:dyDescent="0.25">
      <c r="A12" s="70"/>
      <c r="B12" s="70" t="s">
        <v>44</v>
      </c>
      <c r="C12" s="70"/>
      <c r="D12" s="71"/>
      <c r="E12" s="117">
        <v>22440</v>
      </c>
      <c r="F12" s="117">
        <v>32111</v>
      </c>
      <c r="G12" s="70">
        <f>('P&amp;L'!H5+'P&amp;L'!H11)*'Asset Modeling'!G6</f>
        <v>115066.34401588014</v>
      </c>
      <c r="H12" s="70">
        <f>('P&amp;L'!I5+'P&amp;L'!I11)*'Asset Modeling'!H6</f>
        <v>178236.2724782874</v>
      </c>
      <c r="I12" s="70">
        <f>('P&amp;L'!J5+'P&amp;L'!J11)*'Asset Modeling'!I6</f>
        <v>216522.05036409295</v>
      </c>
      <c r="J12" s="70">
        <f>('P&amp;L'!K5+'P&amp;L'!K11)*'Asset Modeling'!J6</f>
        <v>256823.4131652184</v>
      </c>
      <c r="K12" s="70">
        <f>('P&amp;L'!L5+'P&amp;L'!L11)*'Asset Modeling'!K6</f>
        <v>283017.83139268262</v>
      </c>
    </row>
    <row r="13" spans="1:11" x14ac:dyDescent="0.25">
      <c r="A13" s="70"/>
      <c r="B13" s="70" t="s">
        <v>45</v>
      </c>
      <c r="C13" s="70"/>
      <c r="D13" s="71"/>
      <c r="E13" s="117">
        <v>8449</v>
      </c>
      <c r="F13" s="117">
        <v>17365</v>
      </c>
      <c r="G13" s="70">
        <f>('P&amp;L'!H5+'P&amp;L'!H11)*'Asset Modeling'!G8</f>
        <v>57762.537635814791</v>
      </c>
      <c r="H13" s="70">
        <f>('P&amp;L'!I5+'P&amp;L'!I11)*'Asset Modeling'!H8</f>
        <v>83349.943696175556</v>
      </c>
      <c r="I13" s="70">
        <f>('P&amp;L'!J5+'P&amp;L'!J11)*'Asset Modeling'!I8</f>
        <v>104841.4291023071</v>
      </c>
      <c r="J13" s="70">
        <f>('P&amp;L'!K5+'P&amp;L'!K11)*'Asset Modeling'!J8</f>
        <v>122190.88574388644</v>
      </c>
      <c r="K13" s="70">
        <f>('P&amp;L'!L5+'P&amp;L'!L11)*'Asset Modeling'!K8</f>
        <v>135835.89801317145</v>
      </c>
    </row>
    <row r="14" spans="1:11" x14ac:dyDescent="0.25">
      <c r="A14" s="70"/>
      <c r="B14" s="70" t="s">
        <v>46</v>
      </c>
      <c r="C14" s="70"/>
      <c r="D14" s="71"/>
      <c r="E14" s="117">
        <v>16958</v>
      </c>
      <c r="F14" s="117">
        <v>32155</v>
      </c>
      <c r="G14" s="70">
        <f>('P&amp;L'!H5+'P&amp;L'!H11)*'Asset Modeling'!G10</f>
        <v>105041.89630303236</v>
      </c>
      <c r="H14" s="70">
        <f>('P&amp;L'!I5+'P&amp;L'!I11)*'Asset Modeling'!H10</f>
        <v>156441.6775765965</v>
      </c>
      <c r="I14" s="70">
        <f>('P&amp;L'!J5+'P&amp;L'!J11)*'Asset Modeling'!I10</f>
        <v>193717.52709543603</v>
      </c>
      <c r="J14" s="70">
        <f>('P&amp;L'!K5+'P&amp;L'!K11)*'Asset Modeling'!J10</f>
        <v>227558.85213742143</v>
      </c>
      <c r="K14" s="70">
        <f>('P&amp;L'!L5+'P&amp;L'!L11)*'Asset Modeling'!K10</f>
        <v>251978.43568482751</v>
      </c>
    </row>
    <row r="15" spans="1:11" x14ac:dyDescent="0.25">
      <c r="A15" s="70"/>
      <c r="B15" s="70"/>
      <c r="C15" s="69" t="s">
        <v>47</v>
      </c>
      <c r="D15" s="71"/>
      <c r="E15" s="70">
        <f>SUM(E12:E14)</f>
        <v>47847</v>
      </c>
      <c r="F15" s="70">
        <f>SUM(F12:F14)</f>
        <v>81631</v>
      </c>
      <c r="G15" s="70">
        <f t="shared" ref="G15" si="3">SUM(G12:G14)</f>
        <v>277870.77795472729</v>
      </c>
      <c r="H15" s="70">
        <f t="shared" ref="H15" si="4">SUM(H12:H14)</f>
        <v>418027.89375105943</v>
      </c>
      <c r="I15" s="70">
        <f t="shared" ref="I15" si="5">SUM(I12:I14)</f>
        <v>515081.00656183611</v>
      </c>
      <c r="J15" s="70">
        <f t="shared" ref="J15" si="6">SUM(J12:J14)</f>
        <v>606573.15104652627</v>
      </c>
      <c r="K15" s="70">
        <f t="shared" ref="K15" si="7">SUM(K12:K14)</f>
        <v>670832.16509068152</v>
      </c>
    </row>
    <row r="16" spans="1:11" x14ac:dyDescent="0.25">
      <c r="A16" s="70"/>
      <c r="B16" s="70"/>
      <c r="C16" s="70"/>
      <c r="D16" s="71"/>
      <c r="E16" s="70"/>
      <c r="F16" s="70"/>
      <c r="G16" s="70"/>
      <c r="H16" s="70"/>
      <c r="I16" s="70"/>
      <c r="J16" s="70"/>
      <c r="K16" s="70"/>
    </row>
    <row r="17" spans="1:11" x14ac:dyDescent="0.25">
      <c r="A17" s="70"/>
      <c r="B17" s="70"/>
      <c r="C17" s="69" t="s">
        <v>48</v>
      </c>
      <c r="D17" s="71"/>
      <c r="E17" s="70">
        <f>E15+E10</f>
        <v>246665</v>
      </c>
      <c r="F17" s="70">
        <f t="shared" ref="F17:J17" si="8">F15+F10</f>
        <v>439671</v>
      </c>
      <c r="G17" s="70">
        <f t="shared" si="8"/>
        <v>838736.13544252922</v>
      </c>
      <c r="H17" s="70">
        <f t="shared" si="8"/>
        <v>1303252.2278126727</v>
      </c>
      <c r="I17" s="70">
        <f t="shared" si="8"/>
        <v>1826568.9814308514</v>
      </c>
      <c r="J17" s="70">
        <f t="shared" si="8"/>
        <v>2265966.9836265175</v>
      </c>
      <c r="K17" s="70">
        <f t="shared" ref="K17" si="9">K15+K10</f>
        <v>2748569.8766009905</v>
      </c>
    </row>
    <row r="18" spans="1:11" x14ac:dyDescent="0.25">
      <c r="A18" s="70"/>
      <c r="B18" s="70"/>
      <c r="C18" s="70"/>
      <c r="D18" s="71"/>
      <c r="E18" s="70"/>
      <c r="F18" s="70"/>
      <c r="G18" s="70"/>
      <c r="H18" s="70"/>
      <c r="I18" s="70"/>
      <c r="J18" s="70"/>
      <c r="K18" s="70"/>
    </row>
    <row r="19" spans="1:11" x14ac:dyDescent="0.25">
      <c r="A19" s="69" t="s">
        <v>49</v>
      </c>
      <c r="B19" s="70"/>
      <c r="C19" s="70"/>
      <c r="D19" s="71"/>
      <c r="E19" s="70"/>
      <c r="F19" s="70"/>
      <c r="G19" s="70"/>
      <c r="H19" s="70"/>
      <c r="I19" s="70"/>
      <c r="J19" s="70"/>
      <c r="K19" s="70"/>
    </row>
    <row r="20" spans="1:11" x14ac:dyDescent="0.25">
      <c r="A20" s="70"/>
      <c r="B20" s="70" t="s">
        <v>50</v>
      </c>
      <c r="C20" s="70"/>
      <c r="D20" s="71"/>
      <c r="E20" s="117">
        <v>53746</v>
      </c>
      <c r="F20" s="117">
        <v>126423</v>
      </c>
      <c r="G20" s="70">
        <f>Assumption!G60*Assumption!G11</f>
        <v>246434.25</v>
      </c>
      <c r="H20" s="70">
        <f>Assumption!H60*Assumption!H11</f>
        <v>397545.44905656774</v>
      </c>
      <c r="I20" s="70">
        <f>Assumption!I60*Assumption!I11</f>
        <v>555996.72020160034</v>
      </c>
      <c r="J20" s="70">
        <f>Assumption!J60*Assumption!J11</f>
        <v>700040.50621490716</v>
      </c>
      <c r="K20" s="70">
        <f>Assumption!K60*Assumption!K11</f>
        <v>817925.58141255926</v>
      </c>
    </row>
    <row r="21" spans="1:11" x14ac:dyDescent="0.25">
      <c r="A21" s="70"/>
      <c r="B21" s="117" t="s">
        <v>51</v>
      </c>
      <c r="C21" s="70"/>
      <c r="D21" s="71"/>
      <c r="E21" s="117">
        <v>48714</v>
      </c>
      <c r="F21" s="117">
        <v>86391</v>
      </c>
      <c r="G21" s="70">
        <f>Assumption!G62*Assumption!G11</f>
        <v>147860.54999999999</v>
      </c>
      <c r="H21" s="70">
        <f>Assumption!H62*Assumption!H11</f>
        <v>238527.26943394064</v>
      </c>
      <c r="I21" s="70">
        <f>Assumption!I62*Assumption!I11</f>
        <v>333598.03212096018</v>
      </c>
      <c r="J21" s="70">
        <f>Assumption!J62*Assumption!J11</f>
        <v>420024.30372894427</v>
      </c>
      <c r="K21" s="70">
        <f>Assumption!K62*Assumption!K11</f>
        <v>490755.34884753556</v>
      </c>
    </row>
    <row r="22" spans="1:11" x14ac:dyDescent="0.25">
      <c r="A22" s="70"/>
      <c r="B22" s="117" t="s">
        <v>52</v>
      </c>
      <c r="C22" s="70"/>
      <c r="D22" s="71"/>
      <c r="E22" s="117">
        <v>7380</v>
      </c>
      <c r="F22" s="117">
        <v>7781</v>
      </c>
      <c r="G22" s="70">
        <f>Assumption!G63</f>
        <v>8000</v>
      </c>
      <c r="H22" s="70">
        <f>Assumption!H63</f>
        <v>8000</v>
      </c>
      <c r="I22" s="70">
        <f>Assumption!I63</f>
        <v>8000</v>
      </c>
      <c r="J22" s="70">
        <f>Assumption!J63</f>
        <v>8000</v>
      </c>
      <c r="K22" s="70">
        <f>Assumption!K63</f>
        <v>8000</v>
      </c>
    </row>
    <row r="23" spans="1:11" x14ac:dyDescent="0.25">
      <c r="A23" s="70"/>
      <c r="B23" s="117" t="s">
        <v>53</v>
      </c>
      <c r="C23" s="70"/>
      <c r="D23" s="71"/>
      <c r="E23" s="117">
        <v>3578</v>
      </c>
      <c r="F23" s="117">
        <v>19702</v>
      </c>
      <c r="G23" s="70">
        <f>Assumption!G66*Assumption!G11</f>
        <v>49286.850000000006</v>
      </c>
      <c r="H23" s="70">
        <f>Assumption!H66*Assumption!H11</f>
        <v>79509.089811313548</v>
      </c>
      <c r="I23" s="70">
        <f>Assumption!I66*Assumption!I11</f>
        <v>111199.34404032008</v>
      </c>
      <c r="J23" s="70">
        <f>Assumption!J66*Assumption!J11</f>
        <v>140008.10124298144</v>
      </c>
      <c r="K23" s="70">
        <f>Assumption!K66*Assumption!K11</f>
        <v>163585.11628251185</v>
      </c>
    </row>
    <row r="24" spans="1:11" x14ac:dyDescent="0.25">
      <c r="A24" s="70"/>
      <c r="B24" s="117" t="s">
        <v>54</v>
      </c>
      <c r="C24" s="70"/>
      <c r="D24" s="71"/>
      <c r="E24" s="117">
        <v>15782</v>
      </c>
      <c r="F24" s="117">
        <v>60297</v>
      </c>
      <c r="G24" s="70">
        <f>Assumption!G68*Assumption!G11</f>
        <v>118288.44</v>
      </c>
      <c r="H24" s="70">
        <f>Assumption!H68*Assumption!H11</f>
        <v>190821.81554715251</v>
      </c>
      <c r="I24" s="70">
        <f>Assumption!I68*Assumption!I11</f>
        <v>266878.42569676816</v>
      </c>
      <c r="J24" s="70">
        <f>Assumption!J68*Assumption!J11</f>
        <v>336019.44298315543</v>
      </c>
      <c r="K24" s="70">
        <f>Assumption!K68*Assumption!K11</f>
        <v>392604.27907802846</v>
      </c>
    </row>
    <row r="25" spans="1:11" x14ac:dyDescent="0.25">
      <c r="A25" s="70"/>
      <c r="B25" s="70"/>
      <c r="C25" s="69" t="s">
        <v>55</v>
      </c>
      <c r="D25" s="71"/>
      <c r="E25" s="70">
        <f>SUM(E20:E24)</f>
        <v>129200</v>
      </c>
      <c r="F25" s="70">
        <f>SUM(F20:F24)</f>
        <v>300594</v>
      </c>
      <c r="G25" s="70">
        <f t="shared" ref="G25" si="10">SUM(G20:G24)</f>
        <v>569870.09000000008</v>
      </c>
      <c r="H25" s="70">
        <f t="shared" ref="H25:J25" si="11">SUM(H20:H24)</f>
        <v>914403.62384897447</v>
      </c>
      <c r="I25" s="70">
        <f t="shared" si="11"/>
        <v>1275672.5220596488</v>
      </c>
      <c r="J25" s="70">
        <f t="shared" si="11"/>
        <v>1604092.3541699883</v>
      </c>
      <c r="K25" s="70">
        <f t="shared" ref="K25" si="12">SUM(K20:K24)</f>
        <v>1872870.3256206352</v>
      </c>
    </row>
    <row r="26" spans="1:11" x14ac:dyDescent="0.25">
      <c r="A26" s="70"/>
      <c r="B26" s="70"/>
      <c r="C26" s="70"/>
      <c r="D26" s="71"/>
      <c r="E26" s="70"/>
      <c r="F26" s="70"/>
      <c r="G26" s="70"/>
      <c r="H26" s="70"/>
      <c r="I26" s="70"/>
      <c r="J26" s="70"/>
      <c r="K26" s="70"/>
    </row>
    <row r="27" spans="1:11" x14ac:dyDescent="0.25">
      <c r="A27" s="69" t="s">
        <v>56</v>
      </c>
      <c r="B27" s="70"/>
      <c r="C27" s="70"/>
      <c r="D27" s="71"/>
      <c r="E27" s="70"/>
      <c r="F27" s="70"/>
      <c r="G27" s="70"/>
      <c r="H27" s="70"/>
      <c r="I27" s="70"/>
      <c r="J27" s="70"/>
      <c r="K27" s="70"/>
    </row>
    <row r="28" spans="1:11" x14ac:dyDescent="0.25">
      <c r="A28" s="70"/>
      <c r="B28" s="70" t="s">
        <v>57</v>
      </c>
      <c r="C28" s="70"/>
      <c r="D28" s="71"/>
      <c r="E28" s="117">
        <v>113613</v>
      </c>
      <c r="F28" s="117">
        <v>53315</v>
      </c>
      <c r="G28" s="70">
        <f>E28/E30*'Debt Modeling'!E10</f>
        <v>95977.947521404538</v>
      </c>
      <c r="H28" s="70">
        <f>F28/F30*'Debt Modeling'!F10</f>
        <v>73751.425607851881</v>
      </c>
      <c r="I28" s="70">
        <f>G28/G30*'Debt Modeling'!G10</f>
        <v>88020.079230102943</v>
      </c>
      <c r="J28" s="70">
        <f>H28/H30*'Debt Modeling'!H10</f>
        <v>10611.464941631348</v>
      </c>
      <c r="K28" s="70">
        <f>I28/I30*'Debt Modeling'!I10</f>
        <v>12664.460072625514</v>
      </c>
    </row>
    <row r="29" spans="1:11" x14ac:dyDescent="0.25">
      <c r="A29" s="70"/>
      <c r="B29" s="70" t="s">
        <v>58</v>
      </c>
      <c r="C29" s="70"/>
      <c r="D29" s="71"/>
      <c r="E29" s="117">
        <v>6455</v>
      </c>
      <c r="F29" s="117">
        <v>13930</v>
      </c>
      <c r="G29" s="70">
        <f>E29/E30*'Debt Modeling'!E10</f>
        <v>5453.0524785954622</v>
      </c>
      <c r="H29" s="70">
        <f>F29/F30*'Debt Modeling'!F10</f>
        <v>19269.574392148115</v>
      </c>
      <c r="I29" s="70">
        <f>G29/G30*'Debt Modeling'!G10</f>
        <v>5000.9207698970586</v>
      </c>
      <c r="J29" s="70">
        <f>H29/H30*'Debt Modeling'!H10</f>
        <v>2772.5350583686518</v>
      </c>
      <c r="K29" s="70">
        <f>I29/I30*'Debt Modeling'!I10</f>
        <v>719.53992737448789</v>
      </c>
    </row>
    <row r="30" spans="1:11" x14ac:dyDescent="0.25">
      <c r="A30" s="70"/>
      <c r="B30" s="70"/>
      <c r="C30" s="69" t="s">
        <v>59</v>
      </c>
      <c r="D30" s="71"/>
      <c r="E30" s="70">
        <f>SUM(E28:E29)</f>
        <v>120068</v>
      </c>
      <c r="F30" s="70">
        <f>SUM(F28:F29)</f>
        <v>67245</v>
      </c>
      <c r="G30" s="70">
        <f>SUM(G28:G29)</f>
        <v>101431</v>
      </c>
      <c r="H30" s="70">
        <f t="shared" ref="H30:J30" si="13">SUM(H28:H29)</f>
        <v>93021</v>
      </c>
      <c r="I30" s="70">
        <f t="shared" si="13"/>
        <v>93021</v>
      </c>
      <c r="J30" s="70">
        <f t="shared" si="13"/>
        <v>13384</v>
      </c>
      <c r="K30" s="70">
        <f t="shared" ref="K30" si="14">SUM(K28:K29)</f>
        <v>13384.000000000002</v>
      </c>
    </row>
    <row r="31" spans="1:11" x14ac:dyDescent="0.25">
      <c r="A31" s="70"/>
      <c r="B31" s="70"/>
      <c r="C31" s="70"/>
      <c r="D31" s="71"/>
      <c r="E31" s="70"/>
      <c r="F31" s="70"/>
      <c r="G31" s="70"/>
      <c r="H31" s="70"/>
      <c r="I31" s="70"/>
      <c r="J31" s="70"/>
      <c r="K31" s="70"/>
    </row>
    <row r="32" spans="1:11" x14ac:dyDescent="0.25">
      <c r="A32" s="70"/>
      <c r="B32" s="70"/>
      <c r="C32" s="69" t="s">
        <v>122</v>
      </c>
      <c r="D32" s="71"/>
      <c r="E32" s="70">
        <f>E30+E25</f>
        <v>249268</v>
      </c>
      <c r="F32" s="70">
        <f>F30+F25</f>
        <v>367839</v>
      </c>
      <c r="G32" s="70">
        <f>G30+G25</f>
        <v>671301.09000000008</v>
      </c>
      <c r="H32" s="70">
        <f t="shared" ref="H32:J32" si="15">H30+H25</f>
        <v>1007424.6238489745</v>
      </c>
      <c r="I32" s="70">
        <f t="shared" si="15"/>
        <v>1368693.5220596488</v>
      </c>
      <c r="J32" s="70">
        <f t="shared" si="15"/>
        <v>1617476.3541699883</v>
      </c>
      <c r="K32" s="70">
        <f t="shared" ref="K32" si="16">K30+K25</f>
        <v>1886254.3256206352</v>
      </c>
    </row>
    <row r="33" spans="1:11" x14ac:dyDescent="0.25">
      <c r="A33" s="70"/>
      <c r="B33" s="70"/>
      <c r="C33" s="70" t="s">
        <v>117</v>
      </c>
      <c r="D33" s="71"/>
      <c r="E33" s="70">
        <v>77138</v>
      </c>
      <c r="F33" s="70">
        <v>77198</v>
      </c>
      <c r="G33" s="70">
        <f t="shared" ref="G33:J36" si="17">F33/E33*F33</f>
        <v>77258.04666960513</v>
      </c>
      <c r="H33" s="70">
        <f t="shared" si="17"/>
        <v>77318.140045116248</v>
      </c>
      <c r="I33" s="70">
        <f t="shared" si="17"/>
        <v>77378.280162862458</v>
      </c>
      <c r="J33" s="70">
        <f t="shared" si="17"/>
        <v>77438.467059201124</v>
      </c>
      <c r="K33" s="70">
        <f t="shared" ref="K33" si="18">J33/I33*J33</f>
        <v>77498.700770517884</v>
      </c>
    </row>
    <row r="34" spans="1:11" x14ac:dyDescent="0.25">
      <c r="A34" s="70"/>
      <c r="B34" s="70"/>
      <c r="C34" s="70" t="s">
        <v>118</v>
      </c>
      <c r="D34" s="71"/>
      <c r="E34" s="70"/>
      <c r="F34" s="70"/>
      <c r="G34" s="70"/>
      <c r="H34" s="70"/>
      <c r="I34" s="70"/>
      <c r="J34" s="70"/>
      <c r="K34" s="70"/>
    </row>
    <row r="35" spans="1:11" x14ac:dyDescent="0.25">
      <c r="A35" s="70"/>
      <c r="B35" s="70"/>
      <c r="C35" s="70" t="s">
        <v>119</v>
      </c>
      <c r="D35" s="71"/>
      <c r="E35" s="70">
        <v>8</v>
      </c>
      <c r="F35" s="70">
        <v>8</v>
      </c>
      <c r="G35" s="70">
        <f t="shared" si="17"/>
        <v>8</v>
      </c>
      <c r="H35" s="70">
        <f t="shared" si="17"/>
        <v>8</v>
      </c>
      <c r="I35" s="70">
        <f t="shared" si="17"/>
        <v>8</v>
      </c>
      <c r="J35" s="111">
        <f t="shared" si="17"/>
        <v>8</v>
      </c>
      <c r="K35" s="111">
        <f t="shared" ref="K35:K36" si="19">J35/I35*J35</f>
        <v>8</v>
      </c>
    </row>
    <row r="36" spans="1:11" x14ac:dyDescent="0.25">
      <c r="A36" s="70"/>
      <c r="B36" s="70"/>
      <c r="C36" s="70" t="s">
        <v>120</v>
      </c>
      <c r="D36" s="71"/>
      <c r="E36" s="70">
        <v>471</v>
      </c>
      <c r="F36" s="70">
        <v>14510</v>
      </c>
      <c r="G36" s="70">
        <v>19218</v>
      </c>
      <c r="H36" s="70">
        <f t="shared" si="17"/>
        <v>25453.58538938663</v>
      </c>
      <c r="I36" s="70">
        <f t="shared" si="17"/>
        <v>33712.405514350947</v>
      </c>
      <c r="J36" s="70">
        <f t="shared" si="17"/>
        <v>44650.931025141042</v>
      </c>
      <c r="K36" s="70">
        <f t="shared" si="19"/>
        <v>59138.634902905622</v>
      </c>
    </row>
    <row r="37" spans="1:11" x14ac:dyDescent="0.25">
      <c r="A37" s="70"/>
      <c r="B37" s="70"/>
      <c r="C37" s="70"/>
      <c r="D37" s="71"/>
      <c r="E37" s="70"/>
      <c r="F37" s="70"/>
      <c r="G37" s="70"/>
      <c r="H37" s="70"/>
      <c r="I37" s="70"/>
      <c r="J37" s="70"/>
      <c r="K37" s="70"/>
    </row>
    <row r="38" spans="1:11" x14ac:dyDescent="0.25">
      <c r="A38" s="70"/>
      <c r="B38" s="71"/>
      <c r="C38" s="70" t="s">
        <v>23</v>
      </c>
      <c r="D38" s="71"/>
      <c r="E38" s="70">
        <f>'Shareholder''s equity'!M20</f>
        <v>-30996</v>
      </c>
      <c r="F38" s="70">
        <v>0</v>
      </c>
      <c r="G38" s="70">
        <v>0</v>
      </c>
      <c r="H38" s="70">
        <v>0</v>
      </c>
      <c r="I38" s="70">
        <v>0</v>
      </c>
      <c r="J38" s="70">
        <v>0</v>
      </c>
      <c r="K38" s="70">
        <v>0</v>
      </c>
    </row>
    <row r="39" spans="1:11" x14ac:dyDescent="0.25">
      <c r="A39" s="70"/>
      <c r="B39" s="71"/>
      <c r="C39" s="70" t="s">
        <v>66</v>
      </c>
      <c r="D39" s="71"/>
      <c r="E39" s="70">
        <v>0</v>
      </c>
      <c r="F39" s="70">
        <v>-242</v>
      </c>
      <c r="G39" s="70">
        <v>0</v>
      </c>
      <c r="H39" s="70">
        <v>0</v>
      </c>
      <c r="I39" s="70">
        <v>0</v>
      </c>
      <c r="J39" s="70">
        <v>0</v>
      </c>
      <c r="K39" s="70">
        <v>0</v>
      </c>
    </row>
    <row r="40" spans="1:11" x14ac:dyDescent="0.25">
      <c r="A40" s="70"/>
      <c r="B40" s="71"/>
      <c r="C40" s="70" t="s">
        <v>29</v>
      </c>
      <c r="D40" s="71"/>
      <c r="E40" s="70">
        <f>'Shareholder''s equity'!M28</f>
        <v>-81486</v>
      </c>
      <c r="F40" s="70">
        <v>0</v>
      </c>
      <c r="G40" s="70">
        <v>0</v>
      </c>
      <c r="H40" s="70">
        <v>0</v>
      </c>
      <c r="I40" s="70">
        <v>0</v>
      </c>
      <c r="J40" s="70">
        <v>0</v>
      </c>
      <c r="K40" s="70">
        <v>0</v>
      </c>
    </row>
    <row r="41" spans="1:11" x14ac:dyDescent="0.25">
      <c r="A41" s="70"/>
      <c r="B41" s="71"/>
      <c r="C41" s="70" t="s">
        <v>13</v>
      </c>
      <c r="D41" s="71"/>
      <c r="E41" s="70">
        <f>'P&amp;L'!F16</f>
        <v>32262</v>
      </c>
      <c r="F41" s="70">
        <f>'P&amp;L'!G16</f>
        <v>60578</v>
      </c>
      <c r="G41" s="70">
        <f>'P&amp;L'!H16</f>
        <v>90834.998772924038</v>
      </c>
      <c r="H41" s="70">
        <f>'P&amp;L'!I16</f>
        <v>122096.87975627143</v>
      </c>
      <c r="I41" s="70">
        <f>'P&amp;L'!J16</f>
        <v>153728.89516479362</v>
      </c>
      <c r="J41" s="70">
        <f>'P&amp;L'!K16</f>
        <v>179616.45767819803</v>
      </c>
      <c r="K41" s="70">
        <f>'P&amp;L'!L16</f>
        <v>199276.98393474508</v>
      </c>
    </row>
    <row r="42" spans="1:11" x14ac:dyDescent="0.25">
      <c r="A42" s="70"/>
      <c r="B42" s="70"/>
      <c r="C42" s="69" t="s">
        <v>121</v>
      </c>
      <c r="D42" s="71"/>
      <c r="E42" s="70">
        <f>SUM(E38:E41)</f>
        <v>-80220</v>
      </c>
      <c r="F42" s="70">
        <f>SUM(E42,F38:F41)</f>
        <v>-19884</v>
      </c>
      <c r="G42" s="70">
        <f t="shared" ref="G42:J42" si="20">SUM(F42,G38:G41)</f>
        <v>70950.998772924038</v>
      </c>
      <c r="H42" s="70">
        <f t="shared" si="20"/>
        <v>193047.87852919547</v>
      </c>
      <c r="I42" s="70">
        <f t="shared" si="20"/>
        <v>346776.77369398909</v>
      </c>
      <c r="J42" s="70">
        <f t="shared" si="20"/>
        <v>526393.23137218715</v>
      </c>
      <c r="K42" s="70">
        <f t="shared" ref="K42" si="21">SUM(J42,K38:K41)</f>
        <v>725670.21530693222</v>
      </c>
    </row>
    <row r="43" spans="1:11" x14ac:dyDescent="0.25">
      <c r="A43" s="70"/>
      <c r="B43" s="70"/>
      <c r="C43" s="70"/>
      <c r="D43" s="71"/>
      <c r="E43" s="70">
        <f>SUM(E42,E32:E36)</f>
        <v>246665</v>
      </c>
      <c r="F43" s="70">
        <f t="shared" ref="F43:J43" si="22">SUM(F42,F32:F36)</f>
        <v>439671</v>
      </c>
      <c r="G43" s="70">
        <f t="shared" si="22"/>
        <v>838736.13544252934</v>
      </c>
      <c r="H43" s="70">
        <f t="shared" si="22"/>
        <v>1303252.2278126727</v>
      </c>
      <c r="I43" s="70">
        <f t="shared" si="22"/>
        <v>1826568.9814308512</v>
      </c>
      <c r="J43" s="70">
        <f t="shared" si="22"/>
        <v>2265966.9836265175</v>
      </c>
      <c r="K43" s="70">
        <f t="shared" ref="K43" si="23">SUM(K42,K32:K36)</f>
        <v>2748569.876600991</v>
      </c>
    </row>
    <row r="44" spans="1:11" x14ac:dyDescent="0.25">
      <c r="E44" s="56" t="b">
        <f>E43=E17</f>
        <v>1</v>
      </c>
      <c r="F44" s="56" t="b">
        <f t="shared" ref="F44:J44" si="24">F43=F17</f>
        <v>1</v>
      </c>
      <c r="G44" s="56" t="b">
        <f t="shared" si="24"/>
        <v>1</v>
      </c>
      <c r="H44" s="56" t="b">
        <f t="shared" si="24"/>
        <v>1</v>
      </c>
      <c r="I44" s="56" t="b">
        <f t="shared" si="24"/>
        <v>1</v>
      </c>
      <c r="J44" s="56" t="b">
        <f t="shared" si="24"/>
        <v>1</v>
      </c>
      <c r="K44" s="56" t="b">
        <f>ROUND(K43,7)=ROUND(K17,7)</f>
        <v>1</v>
      </c>
    </row>
    <row r="45" spans="1:11" x14ac:dyDescent="0.25">
      <c r="E45" s="56">
        <f>E43-E17</f>
        <v>0</v>
      </c>
      <c r="F45" s="56">
        <f t="shared" ref="F45:J45" si="25">F43-F17</f>
        <v>0</v>
      </c>
      <c r="G45" s="56">
        <f t="shared" si="25"/>
        <v>0</v>
      </c>
      <c r="H45" s="56">
        <f t="shared" si="25"/>
        <v>0</v>
      </c>
      <c r="I45" s="56">
        <f t="shared" si="25"/>
        <v>0</v>
      </c>
      <c r="J45" s="56">
        <f t="shared" si="25"/>
        <v>0</v>
      </c>
      <c r="K45" s="118">
        <f t="shared" ref="K45" si="26">K43-K17</f>
        <v>0</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showGridLines="0" workbookViewId="0">
      <pane ySplit="4" topLeftCell="A5" activePane="bottomLeft" state="frozen"/>
      <selection pane="bottomLeft"/>
    </sheetView>
  </sheetViews>
  <sheetFormatPr defaultRowHeight="15" x14ac:dyDescent="0.25"/>
  <cols>
    <col min="1" max="1" width="3" style="14" customWidth="1"/>
    <col min="2" max="2" width="3.42578125" style="14" customWidth="1"/>
    <col min="3" max="3" width="61.5703125" style="15" customWidth="1"/>
    <col min="4" max="10" width="9.140625" style="14"/>
    <col min="11" max="11" width="13.7109375" style="14" customWidth="1"/>
    <col min="12" max="16384" width="9.140625" style="14"/>
  </cols>
  <sheetData>
    <row r="1" spans="1:19" ht="23.25" x14ac:dyDescent="0.35">
      <c r="A1" s="13" t="s">
        <v>14</v>
      </c>
    </row>
    <row r="3" spans="1:19" x14ac:dyDescent="0.25">
      <c r="A3" s="8"/>
      <c r="B3" s="8"/>
      <c r="C3" s="16"/>
      <c r="D3" s="8"/>
      <c r="E3" s="17" t="s">
        <v>86</v>
      </c>
      <c r="F3" s="18"/>
      <c r="G3" s="8"/>
      <c r="H3" s="17" t="s">
        <v>16</v>
      </c>
      <c r="I3" s="18"/>
      <c r="J3" s="17" t="s">
        <v>18</v>
      </c>
      <c r="K3" s="18"/>
      <c r="L3" s="19" t="s">
        <v>68</v>
      </c>
      <c r="M3" s="8"/>
      <c r="N3" s="8"/>
      <c r="O3" s="8"/>
      <c r="P3" s="19" t="s">
        <v>19</v>
      </c>
      <c r="Q3" s="8"/>
      <c r="R3" s="8"/>
      <c r="S3" s="8"/>
    </row>
    <row r="4" spans="1:19" s="23" customFormat="1" x14ac:dyDescent="0.25">
      <c r="A4" s="20" t="s">
        <v>70</v>
      </c>
      <c r="B4" s="21"/>
      <c r="C4" s="22"/>
      <c r="D4" s="21"/>
      <c r="E4" s="21" t="s">
        <v>17</v>
      </c>
      <c r="F4" s="21" t="s">
        <v>15</v>
      </c>
      <c r="G4" s="21"/>
      <c r="H4" s="21" t="s">
        <v>17</v>
      </c>
      <c r="I4" s="21" t="s">
        <v>15</v>
      </c>
      <c r="J4" s="21" t="s">
        <v>15</v>
      </c>
      <c r="K4" s="21"/>
      <c r="L4" s="21"/>
      <c r="M4" s="21" t="s">
        <v>15</v>
      </c>
      <c r="N4" s="21"/>
      <c r="O4" s="21"/>
      <c r="P4" s="21" t="s">
        <v>15</v>
      </c>
      <c r="Q4" s="21"/>
      <c r="R4" s="21"/>
      <c r="S4" s="21"/>
    </row>
    <row r="5" spans="1:19" x14ac:dyDescent="0.25">
      <c r="A5" s="24" t="s">
        <v>60</v>
      </c>
      <c r="B5" s="8"/>
      <c r="C5" s="16"/>
      <c r="D5" s="8"/>
      <c r="E5" s="8" t="s">
        <v>31</v>
      </c>
      <c r="F5" s="8" t="s">
        <v>31</v>
      </c>
      <c r="G5" s="8"/>
      <c r="H5" s="8"/>
      <c r="I5" s="8"/>
      <c r="J5" s="8"/>
      <c r="K5" s="8"/>
      <c r="L5" s="8"/>
      <c r="M5" s="8" t="s">
        <v>31</v>
      </c>
      <c r="N5" s="8"/>
      <c r="O5" s="8"/>
      <c r="P5" s="8"/>
      <c r="Q5" s="8"/>
      <c r="R5" s="8"/>
      <c r="S5" s="8"/>
    </row>
    <row r="6" spans="1:19" x14ac:dyDescent="0.25">
      <c r="A6" s="8"/>
      <c r="B6" s="25" t="s">
        <v>32</v>
      </c>
      <c r="C6" s="16"/>
      <c r="D6" s="8"/>
      <c r="E6" s="8" t="s">
        <v>31</v>
      </c>
      <c r="F6" s="8" t="s">
        <v>31</v>
      </c>
      <c r="G6" s="8"/>
      <c r="H6" s="8">
        <v>73160</v>
      </c>
      <c r="I6" s="8">
        <v>263</v>
      </c>
      <c r="J6" s="8">
        <v>674</v>
      </c>
      <c r="K6" s="8"/>
      <c r="L6" s="8"/>
      <c r="M6" s="8">
        <v>11465</v>
      </c>
      <c r="N6" s="8"/>
      <c r="O6" s="8"/>
      <c r="P6" s="8">
        <v>12402</v>
      </c>
      <c r="Q6" s="8"/>
      <c r="R6" s="8"/>
      <c r="S6" s="8"/>
    </row>
    <row r="7" spans="1:19" s="27" customFormat="1" x14ac:dyDescent="0.25">
      <c r="A7" s="26"/>
      <c r="B7" s="25" t="s">
        <v>21</v>
      </c>
      <c r="C7" s="25"/>
      <c r="D7" s="26"/>
      <c r="E7" s="8" t="s">
        <v>31</v>
      </c>
      <c r="F7" s="8" t="s">
        <v>31</v>
      </c>
      <c r="G7" s="26"/>
      <c r="H7" s="8" t="s">
        <v>31</v>
      </c>
      <c r="I7" s="8" t="s">
        <v>31</v>
      </c>
      <c r="J7" s="26">
        <v>9108</v>
      </c>
      <c r="K7" s="26"/>
      <c r="L7" s="26"/>
      <c r="M7" s="8" t="s">
        <v>31</v>
      </c>
      <c r="N7" s="26"/>
      <c r="O7" s="26"/>
      <c r="P7" s="8" t="s">
        <v>31</v>
      </c>
      <c r="Q7" s="26"/>
      <c r="R7" s="26"/>
      <c r="S7" s="26"/>
    </row>
    <row r="8" spans="1:19" x14ac:dyDescent="0.25">
      <c r="A8" s="8"/>
      <c r="B8" s="28" t="s">
        <v>20</v>
      </c>
      <c r="C8" s="16"/>
      <c r="D8" s="8"/>
      <c r="E8" s="8">
        <v>7894</v>
      </c>
      <c r="F8" s="8">
        <v>19663</v>
      </c>
      <c r="G8" s="8"/>
      <c r="H8" s="8" t="s">
        <v>31</v>
      </c>
      <c r="I8" s="8" t="s">
        <v>31</v>
      </c>
      <c r="J8" s="29" t="s">
        <v>31</v>
      </c>
      <c r="K8" s="8"/>
      <c r="L8" s="8"/>
      <c r="M8" s="8">
        <v>-9108</v>
      </c>
      <c r="N8" s="8"/>
      <c r="O8" s="8"/>
      <c r="P8" s="8" t="s">
        <v>31</v>
      </c>
      <c r="Q8" s="8"/>
      <c r="R8" s="8"/>
      <c r="S8" s="8"/>
    </row>
    <row r="9" spans="1:19" x14ac:dyDescent="0.25">
      <c r="A9" s="8"/>
      <c r="B9" s="28" t="s">
        <v>22</v>
      </c>
      <c r="C9" s="16"/>
      <c r="D9" s="8"/>
      <c r="E9" s="8">
        <v>26840</v>
      </c>
      <c r="F9" s="8">
        <v>67995</v>
      </c>
      <c r="G9" s="8"/>
      <c r="H9" s="8" t="s">
        <v>31</v>
      </c>
      <c r="I9" s="8" t="s">
        <v>31</v>
      </c>
      <c r="J9" s="8">
        <v>-10030</v>
      </c>
      <c r="K9" s="8"/>
      <c r="L9" s="8"/>
      <c r="M9" s="8">
        <v>-57965</v>
      </c>
      <c r="N9" s="8"/>
      <c r="O9" s="8"/>
      <c r="P9" s="8">
        <v>-67995</v>
      </c>
      <c r="Q9" s="8"/>
      <c r="R9" s="8"/>
      <c r="S9" s="8"/>
    </row>
    <row r="10" spans="1:19" x14ac:dyDescent="0.25">
      <c r="A10" s="8"/>
      <c r="B10" s="28" t="s">
        <v>23</v>
      </c>
      <c r="C10" s="16"/>
      <c r="D10" s="8"/>
      <c r="E10" s="8"/>
      <c r="F10" s="8">
        <v>3432</v>
      </c>
      <c r="G10" s="8"/>
      <c r="H10" s="8" t="s">
        <v>31</v>
      </c>
      <c r="I10" s="8" t="s">
        <v>31</v>
      </c>
      <c r="J10" s="8">
        <v>-3432</v>
      </c>
      <c r="K10" s="8"/>
      <c r="L10" s="8"/>
      <c r="M10" s="8" t="s">
        <v>31</v>
      </c>
      <c r="N10" s="8"/>
      <c r="O10" s="8"/>
      <c r="P10" s="8">
        <v>-3432</v>
      </c>
      <c r="Q10" s="8"/>
      <c r="R10" s="8"/>
      <c r="S10" s="8"/>
    </row>
    <row r="11" spans="1:19" x14ac:dyDescent="0.25">
      <c r="A11" s="8"/>
      <c r="B11" s="28" t="s">
        <v>24</v>
      </c>
      <c r="C11" s="16"/>
      <c r="D11" s="8"/>
      <c r="E11" s="8"/>
      <c r="F11" s="8">
        <v>56</v>
      </c>
      <c r="G11" s="8"/>
      <c r="H11" s="8" t="s">
        <v>31</v>
      </c>
      <c r="I11" s="8" t="s">
        <v>31</v>
      </c>
      <c r="J11" s="8">
        <v>-56</v>
      </c>
      <c r="K11" s="8"/>
      <c r="L11" s="8"/>
      <c r="M11" s="8" t="s">
        <v>31</v>
      </c>
      <c r="N11" s="8"/>
      <c r="O11" s="8"/>
      <c r="P11" s="8">
        <v>-56</v>
      </c>
      <c r="Q11" s="8"/>
      <c r="R11" s="8"/>
      <c r="S11" s="8"/>
    </row>
    <row r="12" spans="1:19" x14ac:dyDescent="0.25">
      <c r="A12" s="8"/>
      <c r="B12" s="28" t="s">
        <v>25</v>
      </c>
      <c r="C12" s="16"/>
      <c r="D12" s="8"/>
      <c r="E12" s="8" t="s">
        <v>31</v>
      </c>
      <c r="F12" s="8" t="s">
        <v>31</v>
      </c>
      <c r="G12" s="8"/>
      <c r="H12" s="8">
        <v>646</v>
      </c>
      <c r="I12" s="8">
        <v>11</v>
      </c>
      <c r="J12" s="8" t="s">
        <v>31</v>
      </c>
      <c r="K12" s="8"/>
      <c r="L12" s="8"/>
      <c r="M12" s="8" t="s">
        <v>31</v>
      </c>
      <c r="N12" s="8"/>
      <c r="O12" s="8"/>
      <c r="P12" s="8">
        <v>11</v>
      </c>
      <c r="Q12" s="8"/>
      <c r="R12" s="8"/>
      <c r="S12" s="8"/>
    </row>
    <row r="13" spans="1:19" x14ac:dyDescent="0.25">
      <c r="A13" s="8"/>
      <c r="B13" s="28" t="s">
        <v>26</v>
      </c>
      <c r="C13" s="16"/>
      <c r="D13" s="8"/>
      <c r="E13" s="8" t="s">
        <v>31</v>
      </c>
      <c r="F13" s="8" t="s">
        <v>31</v>
      </c>
      <c r="G13" s="8"/>
      <c r="H13" s="8" t="s">
        <v>31</v>
      </c>
      <c r="I13" s="8" t="s">
        <v>31</v>
      </c>
      <c r="J13" s="8">
        <v>8975</v>
      </c>
      <c r="K13" s="8"/>
      <c r="L13" s="8"/>
      <c r="M13" s="8" t="s">
        <v>31</v>
      </c>
      <c r="N13" s="8"/>
      <c r="O13" s="8"/>
      <c r="P13" s="8">
        <v>8975</v>
      </c>
      <c r="Q13" s="8"/>
      <c r="R13" s="8"/>
      <c r="S13" s="8"/>
    </row>
    <row r="14" spans="1:19" x14ac:dyDescent="0.25">
      <c r="A14" s="8"/>
      <c r="B14" s="28" t="s">
        <v>27</v>
      </c>
      <c r="C14" s="16"/>
      <c r="D14" s="8"/>
      <c r="E14" s="8" t="s">
        <v>31</v>
      </c>
      <c r="F14" s="8" t="s">
        <v>31</v>
      </c>
      <c r="G14" s="8"/>
      <c r="H14" s="8" t="s">
        <v>31</v>
      </c>
      <c r="I14" s="8" t="s">
        <v>31</v>
      </c>
      <c r="J14" s="8">
        <v>339</v>
      </c>
      <c r="K14" s="8"/>
      <c r="L14" s="8"/>
      <c r="M14" s="8" t="s">
        <v>31</v>
      </c>
      <c r="N14" s="8"/>
      <c r="O14" s="8"/>
      <c r="P14" s="8">
        <v>339</v>
      </c>
      <c r="Q14" s="8"/>
      <c r="R14" s="8"/>
      <c r="S14" s="8"/>
    </row>
    <row r="15" spans="1:19" x14ac:dyDescent="0.25">
      <c r="A15" s="8"/>
      <c r="B15" s="28" t="s">
        <v>28</v>
      </c>
      <c r="C15" s="16"/>
      <c r="D15" s="8"/>
      <c r="E15" s="8" t="s">
        <v>31</v>
      </c>
      <c r="F15" s="8" t="s">
        <v>31</v>
      </c>
      <c r="G15" s="8"/>
      <c r="H15" s="8" t="s">
        <v>31</v>
      </c>
      <c r="I15" s="8" t="s">
        <v>31</v>
      </c>
      <c r="J15" s="8">
        <v>6120</v>
      </c>
      <c r="K15" s="8"/>
      <c r="L15" s="8"/>
      <c r="M15" s="8" t="s">
        <v>31</v>
      </c>
      <c r="N15" s="8"/>
      <c r="O15" s="8"/>
      <c r="P15" s="8">
        <v>6120</v>
      </c>
      <c r="Q15" s="8"/>
      <c r="R15" s="8"/>
      <c r="S15" s="8"/>
    </row>
    <row r="16" spans="1:19" x14ac:dyDescent="0.25">
      <c r="A16" s="8"/>
      <c r="B16" s="28" t="s">
        <v>29</v>
      </c>
      <c r="C16" s="16"/>
      <c r="D16" s="8"/>
      <c r="E16" s="8" t="s">
        <v>31</v>
      </c>
      <c r="F16" s="8" t="s">
        <v>31</v>
      </c>
      <c r="G16" s="8"/>
      <c r="H16" s="8" t="s">
        <v>31</v>
      </c>
      <c r="I16" s="8" t="s">
        <v>31</v>
      </c>
      <c r="J16" s="8">
        <v>-5071</v>
      </c>
      <c r="K16" s="8"/>
      <c r="L16" s="8"/>
      <c r="M16" s="8" t="s">
        <v>31</v>
      </c>
      <c r="N16" s="8"/>
      <c r="O16" s="8"/>
      <c r="P16" s="8">
        <v>-5071</v>
      </c>
      <c r="Q16" s="8"/>
      <c r="R16" s="8"/>
      <c r="S16" s="8"/>
    </row>
    <row r="17" spans="1:19" x14ac:dyDescent="0.25">
      <c r="A17" s="8"/>
      <c r="B17" s="28" t="s">
        <v>30</v>
      </c>
      <c r="C17" s="16"/>
      <c r="D17" s="8"/>
      <c r="E17" s="8" t="s">
        <v>31</v>
      </c>
      <c r="F17" s="8" t="s">
        <v>31</v>
      </c>
      <c r="G17" s="8"/>
      <c r="H17" s="8" t="s">
        <v>31</v>
      </c>
      <c r="I17" s="8">
        <v>-267</v>
      </c>
      <c r="J17" s="8">
        <v>267</v>
      </c>
      <c r="K17" s="8"/>
      <c r="L17" s="8"/>
      <c r="M17" s="8" t="s">
        <v>31</v>
      </c>
      <c r="N17" s="8"/>
      <c r="O17" s="8"/>
      <c r="P17" s="8" t="s">
        <v>31</v>
      </c>
      <c r="Q17" s="8"/>
      <c r="R17" s="8"/>
      <c r="S17" s="8"/>
    </row>
    <row r="18" spans="1:19" s="112" customFormat="1" x14ac:dyDescent="0.25">
      <c r="A18" s="29"/>
      <c r="B18" s="28" t="s">
        <v>13</v>
      </c>
      <c r="C18" s="16"/>
      <c r="D18" s="29"/>
      <c r="E18" s="29" t="s">
        <v>31</v>
      </c>
      <c r="F18" s="29" t="s">
        <v>31</v>
      </c>
      <c r="G18" s="29"/>
      <c r="H18" s="29" t="s">
        <v>31</v>
      </c>
      <c r="I18" s="29" t="s">
        <v>31</v>
      </c>
      <c r="J18" s="29" t="s">
        <v>31</v>
      </c>
      <c r="K18" s="29"/>
      <c r="L18" s="29"/>
      <c r="M18" s="8">
        <v>24612</v>
      </c>
      <c r="N18" s="29"/>
      <c r="O18" s="29"/>
      <c r="P18" s="29"/>
      <c r="Q18" s="29"/>
      <c r="R18" s="29"/>
      <c r="S18" s="29"/>
    </row>
    <row r="19" spans="1:19" s="115" customFormat="1" x14ac:dyDescent="0.25">
      <c r="A19" s="113" t="s">
        <v>61</v>
      </c>
      <c r="B19" s="114"/>
      <c r="C19" s="114"/>
      <c r="D19" s="114"/>
      <c r="E19" s="114"/>
      <c r="F19" s="114"/>
      <c r="G19" s="114"/>
      <c r="H19" s="114"/>
      <c r="I19" s="114"/>
      <c r="J19" s="114"/>
      <c r="K19" s="114"/>
      <c r="L19" s="114"/>
      <c r="M19" s="114"/>
      <c r="N19" s="114"/>
      <c r="O19" s="114"/>
      <c r="P19" s="114"/>
      <c r="Q19" s="114"/>
      <c r="R19" s="114"/>
      <c r="S19" s="114"/>
    </row>
    <row r="20" spans="1:19" x14ac:dyDescent="0.25">
      <c r="A20" s="8"/>
      <c r="B20" s="16" t="s">
        <v>32</v>
      </c>
      <c r="C20" s="16"/>
      <c r="D20" s="8"/>
      <c r="E20" s="8">
        <v>34734</v>
      </c>
      <c r="F20" s="8">
        <v>91146</v>
      </c>
      <c r="G20" s="8"/>
      <c r="H20" s="8">
        <v>73806</v>
      </c>
      <c r="I20" s="8">
        <v>7</v>
      </c>
      <c r="J20" s="8">
        <v>6894</v>
      </c>
      <c r="K20" s="8"/>
      <c r="L20" s="8"/>
      <c r="M20" s="8">
        <v>-30996</v>
      </c>
      <c r="N20" s="8"/>
      <c r="O20" s="8"/>
      <c r="P20" s="8">
        <v>-24095</v>
      </c>
      <c r="Q20" s="8"/>
      <c r="R20" s="8"/>
      <c r="S20" s="8"/>
    </row>
    <row r="21" spans="1:19" x14ac:dyDescent="0.25">
      <c r="A21" s="8"/>
      <c r="B21" s="28" t="s">
        <v>23</v>
      </c>
      <c r="C21" s="16"/>
      <c r="D21" s="8"/>
      <c r="E21" s="8" t="s">
        <v>31</v>
      </c>
      <c r="F21" s="8">
        <v>4207</v>
      </c>
      <c r="G21" s="8"/>
      <c r="H21" s="8" t="s">
        <v>31</v>
      </c>
      <c r="I21" s="8" t="s">
        <v>31</v>
      </c>
      <c r="J21" s="8">
        <v>-4207</v>
      </c>
      <c r="K21" s="8"/>
      <c r="L21" s="8"/>
      <c r="M21" s="8" t="s">
        <v>31</v>
      </c>
      <c r="N21" s="8"/>
      <c r="O21" s="8"/>
      <c r="P21" s="8">
        <v>-4207</v>
      </c>
      <c r="Q21" s="8"/>
      <c r="R21" s="8"/>
      <c r="S21" s="8"/>
    </row>
    <row r="22" spans="1:19" x14ac:dyDescent="0.25">
      <c r="A22" s="8"/>
      <c r="B22" s="28" t="s">
        <v>24</v>
      </c>
      <c r="C22" s="16"/>
      <c r="D22" s="8"/>
      <c r="E22" s="8" t="s">
        <v>31</v>
      </c>
      <c r="F22" s="8">
        <v>67</v>
      </c>
      <c r="G22" s="8"/>
      <c r="H22" s="8" t="s">
        <v>31</v>
      </c>
      <c r="I22" s="8" t="s">
        <v>31</v>
      </c>
      <c r="J22" s="8">
        <v>-67</v>
      </c>
      <c r="K22" s="8"/>
      <c r="L22" s="8"/>
      <c r="M22" s="8" t="s">
        <v>31</v>
      </c>
      <c r="N22" s="8"/>
      <c r="O22" s="8"/>
      <c r="P22" s="8">
        <v>-67</v>
      </c>
      <c r="Q22" s="8"/>
      <c r="R22" s="8"/>
      <c r="S22" s="8"/>
    </row>
    <row r="23" spans="1:19" x14ac:dyDescent="0.25">
      <c r="A23" s="8"/>
      <c r="B23" s="28" t="s">
        <v>25</v>
      </c>
      <c r="C23" s="16"/>
      <c r="D23" s="8"/>
      <c r="E23" s="8" t="s">
        <v>31</v>
      </c>
      <c r="F23" s="8" t="s">
        <v>31</v>
      </c>
      <c r="G23" s="8"/>
      <c r="H23" s="8">
        <v>2565</v>
      </c>
      <c r="I23" s="8"/>
      <c r="J23" s="8">
        <v>1906</v>
      </c>
      <c r="K23" s="8"/>
      <c r="L23" s="8"/>
      <c r="M23" s="8" t="s">
        <v>31</v>
      </c>
      <c r="N23" s="8"/>
      <c r="O23" s="8"/>
      <c r="P23" s="8">
        <v>1906</v>
      </c>
      <c r="Q23" s="8"/>
      <c r="R23" s="8"/>
      <c r="S23" s="8"/>
    </row>
    <row r="24" spans="1:19" x14ac:dyDescent="0.25">
      <c r="A24" s="8"/>
      <c r="B24" s="30" t="s">
        <v>62</v>
      </c>
      <c r="C24" s="16"/>
      <c r="D24" s="8"/>
      <c r="E24" s="8" t="s">
        <v>31</v>
      </c>
      <c r="F24" s="8" t="s">
        <v>31</v>
      </c>
      <c r="G24" s="8"/>
      <c r="H24" s="8">
        <v>132</v>
      </c>
      <c r="I24" s="8"/>
      <c r="J24" s="8">
        <v>201</v>
      </c>
      <c r="K24" s="8"/>
      <c r="L24" s="8"/>
      <c r="M24" s="8" t="s">
        <v>31</v>
      </c>
      <c r="N24" s="8"/>
      <c r="O24" s="8"/>
      <c r="P24" s="8">
        <v>201</v>
      </c>
      <c r="Q24" s="8"/>
      <c r="R24" s="8"/>
      <c r="S24" s="8"/>
    </row>
    <row r="25" spans="1:19" x14ac:dyDescent="0.25">
      <c r="A25" s="8"/>
      <c r="B25" s="28" t="s">
        <v>63</v>
      </c>
      <c r="C25" s="16"/>
      <c r="D25" s="10"/>
      <c r="E25" s="8" t="s">
        <v>31</v>
      </c>
      <c r="F25" s="8" t="s">
        <v>31</v>
      </c>
      <c r="G25" s="8"/>
      <c r="H25" s="8" t="s">
        <v>31</v>
      </c>
      <c r="I25" s="8" t="s">
        <v>31</v>
      </c>
      <c r="J25" s="8">
        <v>4182</v>
      </c>
      <c r="K25" s="8"/>
      <c r="L25" s="8"/>
      <c r="M25" s="8" t="s">
        <v>31</v>
      </c>
      <c r="N25" s="8"/>
      <c r="O25" s="8"/>
      <c r="P25" s="8" t="s">
        <v>31</v>
      </c>
      <c r="Q25" s="8"/>
      <c r="R25" s="8"/>
      <c r="S25" s="8"/>
    </row>
    <row r="26" spans="1:19" x14ac:dyDescent="0.25">
      <c r="A26" s="8"/>
      <c r="B26" s="28" t="s">
        <v>26</v>
      </c>
      <c r="C26" s="16"/>
      <c r="D26" s="8"/>
      <c r="E26" s="8" t="s">
        <v>31</v>
      </c>
      <c r="F26" s="8" t="s">
        <v>31</v>
      </c>
      <c r="G26" s="8"/>
      <c r="H26" s="8" t="s">
        <v>31</v>
      </c>
      <c r="I26" s="8" t="s">
        <v>31</v>
      </c>
      <c r="J26" s="8">
        <v>9156</v>
      </c>
      <c r="K26" s="8"/>
      <c r="L26" s="8"/>
      <c r="M26" s="8" t="s">
        <v>31</v>
      </c>
      <c r="N26" s="8"/>
      <c r="O26" s="8"/>
      <c r="P26" s="8" t="s">
        <v>31</v>
      </c>
      <c r="Q26" s="8"/>
      <c r="R26" s="8"/>
      <c r="S26" s="8"/>
    </row>
    <row r="27" spans="1:19" x14ac:dyDescent="0.25">
      <c r="A27" s="8"/>
      <c r="B27" s="28" t="s">
        <v>33</v>
      </c>
      <c r="C27" s="16"/>
      <c r="D27" s="8"/>
      <c r="E27" s="8" t="s">
        <v>31</v>
      </c>
      <c r="F27" s="8" t="s">
        <v>31</v>
      </c>
      <c r="G27" s="8"/>
      <c r="H27" s="8" t="s">
        <v>31</v>
      </c>
      <c r="I27" s="8" t="s">
        <v>31</v>
      </c>
      <c r="J27" s="8">
        <v>11568</v>
      </c>
      <c r="K27" s="8"/>
      <c r="L27" s="8"/>
      <c r="M27" s="8" t="s">
        <v>31</v>
      </c>
      <c r="N27" s="8"/>
      <c r="O27" s="8"/>
      <c r="P27" s="8" t="s">
        <v>31</v>
      </c>
      <c r="Q27" s="8"/>
      <c r="R27" s="8"/>
      <c r="S27" s="8"/>
    </row>
    <row r="28" spans="1:19" x14ac:dyDescent="0.25">
      <c r="A28" s="8"/>
      <c r="B28" s="28" t="s">
        <v>29</v>
      </c>
      <c r="C28" s="16"/>
      <c r="D28" s="8"/>
      <c r="E28" s="8" t="s">
        <v>31</v>
      </c>
      <c r="F28" s="8" t="s">
        <v>31</v>
      </c>
      <c r="G28" s="8"/>
      <c r="H28" s="8" t="s">
        <v>31</v>
      </c>
      <c r="I28" s="8" t="s">
        <v>31</v>
      </c>
      <c r="J28" s="8">
        <v>-29162</v>
      </c>
      <c r="K28" s="8"/>
      <c r="L28" s="8"/>
      <c r="M28" s="8">
        <v>-81486</v>
      </c>
      <c r="N28" s="8"/>
      <c r="O28" s="8"/>
      <c r="P28" s="8" t="s">
        <v>31</v>
      </c>
      <c r="Q28" s="8"/>
      <c r="R28" s="8">
        <f>SUM(P20:P24)</f>
        <v>-26262</v>
      </c>
      <c r="S28" s="8"/>
    </row>
    <row r="29" spans="1:19" x14ac:dyDescent="0.25">
      <c r="A29" s="8"/>
      <c r="B29" s="28" t="s">
        <v>13</v>
      </c>
      <c r="C29" s="16"/>
      <c r="D29" s="8"/>
      <c r="E29" s="8" t="s">
        <v>31</v>
      </c>
      <c r="F29" s="8" t="s">
        <v>31</v>
      </c>
      <c r="G29" s="8"/>
      <c r="H29" s="8" t="s">
        <v>31</v>
      </c>
      <c r="I29" s="8" t="s">
        <v>31</v>
      </c>
      <c r="J29" s="8" t="s">
        <v>31</v>
      </c>
      <c r="K29" s="8"/>
      <c r="L29" s="8"/>
      <c r="M29" s="8">
        <v>32262</v>
      </c>
      <c r="N29" s="8"/>
      <c r="O29" s="8"/>
      <c r="P29" s="8">
        <v>32262</v>
      </c>
      <c r="Q29" s="8"/>
      <c r="R29" s="8"/>
      <c r="S29" s="8"/>
    </row>
    <row r="30" spans="1:19" x14ac:dyDescent="0.25">
      <c r="A30" s="24" t="s">
        <v>64</v>
      </c>
      <c r="B30" s="8"/>
      <c r="C30" s="16"/>
      <c r="D30" s="8"/>
      <c r="E30" s="8"/>
      <c r="F30" s="8"/>
      <c r="G30" s="8"/>
      <c r="H30" s="8"/>
      <c r="I30" s="8"/>
      <c r="J30" s="8"/>
      <c r="K30" s="8"/>
      <c r="L30" s="8"/>
      <c r="M30" s="8"/>
      <c r="N30" s="8"/>
      <c r="O30" s="8"/>
      <c r="P30" s="8"/>
      <c r="Q30" s="8"/>
      <c r="R30" s="8"/>
      <c r="S30" s="8"/>
    </row>
    <row r="31" spans="1:19" x14ac:dyDescent="0.25">
      <c r="A31" s="8"/>
      <c r="B31" s="8" t="s">
        <v>32</v>
      </c>
      <c r="C31" s="16"/>
      <c r="D31" s="8"/>
      <c r="E31" s="10">
        <v>30523</v>
      </c>
      <c r="F31" s="10">
        <v>77138</v>
      </c>
      <c r="G31" s="8"/>
      <c r="H31" s="10">
        <v>80714</v>
      </c>
      <c r="I31" s="11">
        <v>8</v>
      </c>
      <c r="J31" s="11">
        <v>471</v>
      </c>
      <c r="K31" s="8"/>
      <c r="L31" s="8"/>
      <c r="M31" s="8">
        <v>-80220</v>
      </c>
      <c r="N31" s="8"/>
      <c r="O31" s="8"/>
      <c r="P31" s="8">
        <v>-79741</v>
      </c>
      <c r="Q31" s="8"/>
      <c r="R31" s="8"/>
      <c r="S31" s="8"/>
    </row>
    <row r="32" spans="1:19" x14ac:dyDescent="0.25">
      <c r="A32" s="8"/>
      <c r="B32" s="10" t="s">
        <v>24</v>
      </c>
      <c r="C32" s="16"/>
      <c r="D32" s="8"/>
      <c r="E32" s="8" t="s">
        <v>31</v>
      </c>
      <c r="F32" s="10">
        <v>60</v>
      </c>
      <c r="G32" s="8"/>
      <c r="H32" s="8" t="s">
        <v>31</v>
      </c>
      <c r="I32" s="8" t="s">
        <v>31</v>
      </c>
      <c r="J32" s="10">
        <v>-60</v>
      </c>
      <c r="K32" s="8"/>
      <c r="L32" s="8"/>
      <c r="M32" s="8" t="s">
        <v>31</v>
      </c>
      <c r="N32" s="8"/>
      <c r="O32" s="8"/>
      <c r="P32" s="8" t="s">
        <v>31</v>
      </c>
      <c r="Q32" s="8"/>
      <c r="R32" s="8"/>
      <c r="S32" s="8"/>
    </row>
    <row r="33" spans="1:19" x14ac:dyDescent="0.25">
      <c r="A33" s="8"/>
      <c r="B33" s="10" t="s">
        <v>25</v>
      </c>
      <c r="C33" s="16"/>
      <c r="D33" s="8"/>
      <c r="E33" s="8" t="s">
        <v>31</v>
      </c>
      <c r="F33" s="8" t="s">
        <v>31</v>
      </c>
      <c r="G33" s="8"/>
      <c r="H33" s="8">
        <v>346</v>
      </c>
      <c r="I33" s="8" t="s">
        <v>31</v>
      </c>
      <c r="J33" s="8">
        <v>769</v>
      </c>
      <c r="K33" s="8"/>
      <c r="L33" s="8"/>
      <c r="M33" s="8" t="s">
        <v>31</v>
      </c>
      <c r="N33" s="8"/>
      <c r="O33" s="8"/>
      <c r="P33" s="8">
        <v>769</v>
      </c>
      <c r="Q33" s="8"/>
      <c r="R33" s="8"/>
      <c r="S33" s="8"/>
    </row>
    <row r="34" spans="1:19" x14ac:dyDescent="0.25">
      <c r="A34" s="8"/>
      <c r="B34" s="31" t="s">
        <v>65</v>
      </c>
      <c r="C34" s="16"/>
      <c r="D34" s="8"/>
      <c r="E34" s="8" t="s">
        <v>31</v>
      </c>
      <c r="F34" s="8" t="s">
        <v>31</v>
      </c>
      <c r="G34" s="8"/>
      <c r="H34" s="8">
        <v>267</v>
      </c>
      <c r="I34" s="8" t="s">
        <v>31</v>
      </c>
      <c r="J34" s="8">
        <v>379</v>
      </c>
      <c r="K34" s="8"/>
      <c r="L34" s="8"/>
      <c r="M34" s="8" t="s">
        <v>31</v>
      </c>
      <c r="N34" s="8"/>
      <c r="O34" s="8"/>
      <c r="P34" s="8" t="s">
        <v>31</v>
      </c>
      <c r="Q34" s="8"/>
      <c r="R34" s="8"/>
      <c r="S34" s="8"/>
    </row>
    <row r="35" spans="1:19" x14ac:dyDescent="0.25">
      <c r="A35" s="8"/>
      <c r="B35" s="10" t="s">
        <v>26</v>
      </c>
      <c r="C35" s="16"/>
      <c r="D35" s="8"/>
      <c r="E35" s="8" t="s">
        <v>31</v>
      </c>
      <c r="F35" s="8" t="s">
        <v>31</v>
      </c>
      <c r="G35" s="8"/>
      <c r="H35" s="8" t="s">
        <v>31</v>
      </c>
      <c r="I35" s="8" t="s">
        <v>31</v>
      </c>
      <c r="J35" s="8">
        <v>10887</v>
      </c>
      <c r="K35" s="8"/>
      <c r="L35" s="8"/>
      <c r="M35" s="8" t="s">
        <v>31</v>
      </c>
      <c r="N35" s="8"/>
      <c r="O35" s="8"/>
      <c r="P35" s="8">
        <v>10887</v>
      </c>
      <c r="Q35" s="8"/>
      <c r="R35" s="8"/>
      <c r="S35" s="8"/>
    </row>
    <row r="36" spans="1:19" x14ac:dyDescent="0.25">
      <c r="A36" s="8"/>
      <c r="B36" s="10" t="s">
        <v>66</v>
      </c>
      <c r="C36" s="16"/>
      <c r="D36" s="8"/>
      <c r="E36" s="8" t="s">
        <v>31</v>
      </c>
      <c r="F36" s="8" t="s">
        <v>31</v>
      </c>
      <c r="G36" s="8"/>
      <c r="H36" s="8">
        <v>-15</v>
      </c>
      <c r="I36" s="8" t="s">
        <v>31</v>
      </c>
      <c r="J36" s="8"/>
      <c r="K36" s="8"/>
      <c r="L36" s="8"/>
      <c r="M36" s="8">
        <v>-242</v>
      </c>
      <c r="N36" s="8"/>
      <c r="O36" s="8"/>
      <c r="P36" s="8">
        <v>-242</v>
      </c>
      <c r="Q36" s="8"/>
      <c r="R36" s="8"/>
      <c r="S36" s="8"/>
    </row>
    <row r="37" spans="1:19" x14ac:dyDescent="0.25">
      <c r="A37" s="8"/>
      <c r="B37" s="10" t="s">
        <v>67</v>
      </c>
      <c r="C37" s="16"/>
      <c r="D37" s="8"/>
      <c r="E37" s="8" t="s">
        <v>31</v>
      </c>
      <c r="F37" s="8" t="s">
        <v>31</v>
      </c>
      <c r="G37" s="8"/>
      <c r="H37" s="8">
        <v>108</v>
      </c>
      <c r="I37" s="8" t="s">
        <v>31</v>
      </c>
      <c r="J37" s="8">
        <v>1741</v>
      </c>
      <c r="K37" s="8"/>
      <c r="L37" s="8"/>
      <c r="M37" s="8" t="s">
        <v>31</v>
      </c>
      <c r="N37" s="8"/>
      <c r="O37" s="8"/>
      <c r="P37" s="8">
        <v>1741</v>
      </c>
      <c r="Q37" s="8"/>
      <c r="R37" s="8"/>
      <c r="S37" s="8"/>
    </row>
    <row r="38" spans="1:19" x14ac:dyDescent="0.25">
      <c r="A38" s="8"/>
      <c r="B38" s="10" t="s">
        <v>63</v>
      </c>
      <c r="C38" s="16"/>
      <c r="D38" s="8"/>
      <c r="E38" s="8" t="s">
        <v>31</v>
      </c>
      <c r="F38" s="8" t="s">
        <v>31</v>
      </c>
      <c r="G38" s="8"/>
      <c r="H38" s="8" t="s">
        <v>31</v>
      </c>
      <c r="I38" s="8" t="s">
        <v>31</v>
      </c>
      <c r="J38" s="8">
        <v>323</v>
      </c>
      <c r="K38" s="8"/>
      <c r="L38" s="8"/>
      <c r="M38" s="8" t="s">
        <v>31</v>
      </c>
      <c r="N38" s="8"/>
      <c r="O38" s="8"/>
      <c r="P38" s="8">
        <v>323</v>
      </c>
      <c r="Q38" s="8"/>
      <c r="R38" s="8"/>
      <c r="S38" s="8"/>
    </row>
    <row r="39" spans="1:19" x14ac:dyDescent="0.25">
      <c r="A39" s="8"/>
      <c r="B39" s="10" t="s">
        <v>13</v>
      </c>
      <c r="C39" s="16"/>
      <c r="D39" s="8"/>
      <c r="E39" s="8" t="s">
        <v>31</v>
      </c>
      <c r="F39" s="8" t="s">
        <v>31</v>
      </c>
      <c r="G39" s="8"/>
      <c r="H39" s="8" t="s">
        <v>31</v>
      </c>
      <c r="I39" s="8" t="s">
        <v>31</v>
      </c>
      <c r="J39" s="8" t="s">
        <v>31</v>
      </c>
      <c r="K39" s="8"/>
      <c r="L39" s="8"/>
      <c r="M39" s="8">
        <v>60578</v>
      </c>
      <c r="N39" s="8"/>
      <c r="O39" s="8"/>
      <c r="P39" s="8">
        <v>60578</v>
      </c>
      <c r="Q39" s="8"/>
      <c r="R39" s="8"/>
      <c r="S39" s="8"/>
    </row>
    <row r="40" spans="1:19" x14ac:dyDescent="0.25">
      <c r="A40" s="8"/>
      <c r="B40" s="8"/>
      <c r="C40" s="16"/>
      <c r="D40" s="8"/>
      <c r="E40" s="8"/>
      <c r="F40" s="8"/>
      <c r="G40" s="8"/>
      <c r="H40" s="8"/>
      <c r="I40" s="8"/>
      <c r="J40" s="8"/>
      <c r="K40" s="8"/>
      <c r="L40" s="8"/>
      <c r="M40" s="8"/>
      <c r="N40" s="8"/>
      <c r="O40" s="8"/>
      <c r="P40" s="8"/>
      <c r="Q40" s="8"/>
      <c r="R40" s="8"/>
      <c r="S40" s="8"/>
    </row>
    <row r="41" spans="1:19" x14ac:dyDescent="0.25">
      <c r="A41" s="8"/>
      <c r="B41" s="8"/>
      <c r="C41" s="16"/>
      <c r="D41" s="8"/>
      <c r="E41" s="8"/>
      <c r="F41" s="8"/>
      <c r="G41" s="8"/>
      <c r="H41" s="8"/>
      <c r="I41" s="8"/>
      <c r="J41" s="8"/>
      <c r="K41" s="8"/>
      <c r="L41" s="8"/>
      <c r="M41" s="8"/>
      <c r="N41" s="8"/>
      <c r="O41" s="8"/>
      <c r="P41" s="8"/>
      <c r="Q41" s="8"/>
      <c r="R41" s="8"/>
      <c r="S41" s="8"/>
    </row>
    <row r="42" spans="1:19" x14ac:dyDescent="0.25">
      <c r="A42" s="8"/>
      <c r="B42" s="8"/>
      <c r="C42" s="16"/>
      <c r="D42" s="8"/>
      <c r="E42" s="8"/>
      <c r="F42" s="8"/>
      <c r="G42" s="8"/>
      <c r="H42" s="8"/>
      <c r="I42" s="8"/>
      <c r="J42" s="8"/>
      <c r="K42" s="8"/>
      <c r="L42" s="8"/>
      <c r="M42" s="8"/>
      <c r="N42" s="8"/>
      <c r="O42" s="8"/>
      <c r="P42" s="8"/>
      <c r="Q42" s="8"/>
      <c r="R42" s="8"/>
      <c r="S42" s="8"/>
    </row>
    <row r="43" spans="1:19" x14ac:dyDescent="0.25">
      <c r="A43" s="8"/>
      <c r="B43" s="8"/>
      <c r="C43" s="16"/>
      <c r="D43" s="8"/>
      <c r="E43" s="8"/>
      <c r="F43" s="8"/>
      <c r="G43" s="8"/>
      <c r="H43" s="8"/>
      <c r="I43" s="8"/>
      <c r="J43" s="8"/>
      <c r="K43" s="8"/>
      <c r="L43" s="8"/>
      <c r="M43" s="8"/>
      <c r="N43" s="8"/>
      <c r="O43" s="8"/>
      <c r="P43" s="8"/>
      <c r="Q43" s="8"/>
      <c r="R43" s="8"/>
      <c r="S43" s="8"/>
    </row>
    <row r="44" spans="1:19" x14ac:dyDescent="0.25">
      <c r="A44" s="8"/>
      <c r="B44" s="8"/>
      <c r="C44" s="16"/>
      <c r="D44" s="8"/>
      <c r="E44" s="8"/>
      <c r="F44" s="8"/>
      <c r="G44" s="8"/>
      <c r="H44" s="8"/>
      <c r="I44" s="8"/>
      <c r="J44" s="8"/>
      <c r="K44" s="8"/>
      <c r="L44" s="8"/>
      <c r="M44" s="8"/>
      <c r="N44" s="8"/>
      <c r="O44" s="8"/>
      <c r="P44" s="8"/>
      <c r="Q44" s="8"/>
      <c r="R44" s="8"/>
      <c r="S44" s="8"/>
    </row>
    <row r="53" spans="9:9" x14ac:dyDescent="0.25">
      <c r="I53" s="14">
        <f>I71</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vt:lpstr>
      <vt:lpstr>Debt Modeling</vt:lpstr>
      <vt:lpstr>Assumption</vt:lpstr>
      <vt:lpstr>Quaterly Revenue Assumptions</vt:lpstr>
      <vt:lpstr>P&amp;L</vt:lpstr>
      <vt:lpstr>Asset Modeling</vt:lpstr>
      <vt:lpstr>Cash Flow Statements</vt:lpstr>
      <vt:lpstr>Balance sheet</vt:lpstr>
      <vt:lpstr>Shareholder's equity</vt:lpstr>
      <vt:lpstr>DCF</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EduPristine</dc:creator>
  <cp:lastModifiedBy>EduPristine</cp:lastModifiedBy>
  <cp:lastPrinted>2014-06-14T06:02:51Z</cp:lastPrinted>
  <dcterms:created xsi:type="dcterms:W3CDTF">2014-06-09T09:53:15Z</dcterms:created>
  <dcterms:modified xsi:type="dcterms:W3CDTF">2014-09-19T11:54:37Z</dcterms:modified>
</cp:coreProperties>
</file>